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delonRooderkerk\Downloads\"/>
    </mc:Choice>
  </mc:AlternateContent>
  <xr:revisionPtr revIDLastSave="0" documentId="8_{50229FB6-198A-4088-8418-C6E69E7F8EA8}" xr6:coauthVersionLast="47" xr6:coauthVersionMax="47" xr10:uidLastSave="{00000000-0000-0000-0000-000000000000}"/>
  <workbookProtection workbookAlgorithmName="SHA-512" workbookHashValue="57rComsYeBrbXTCiVVNdw1EiP7JAEWIfGAH8b8194391CtiwaV2eRA9jRFblMwd3y47CIIu2zhsSC8BRJ0KFBQ==" workbookSaltValue="ZbvIj6XlGADZ6aUG5Nv1wQ==" workbookSpinCount="100000" lockStructure="1"/>
  <bookViews>
    <workbookView xWindow="-110" yWindow="-110" windowWidth="25180" windowHeight="16260" xr2:uid="{00000000-000D-0000-FFFF-FFFF00000000}"/>
  </bookViews>
  <sheets>
    <sheet name="Bestaand" sheetId="1" r:id="rId1"/>
    <sheet name="Nieuwbouw" sheetId="5" r:id="rId2"/>
    <sheet name="Standplaats" sheetId="6" r:id="rId3"/>
    <sheet name="Omschrijvingen bij Bestaand" sheetId="3" state="hidden" r:id="rId4"/>
    <sheet name="Parameters" sheetId="2" state="hidden" r:id="rId5"/>
    <sheet name="VERSIES EN AANDACHTSPUNTEN" sheetId="4" state="hidden" r:id="rId6"/>
  </sheets>
  <definedNames>
    <definedName name="BestaandBijkomendeKosten" localSheetId="0">Bestaand!$D$9</definedName>
    <definedName name="BestaandBovengrensTrhkEBV1" localSheetId="0">Bestaand!$D$22</definedName>
    <definedName name="BestaandBovengrensTrhkEBV2" localSheetId="0">Bestaand!$D$23</definedName>
    <definedName name="BestaandEBB" localSheetId="0">Bestaand!$D$11</definedName>
    <definedName name="BestaandEBVVanToepassing" localSheetId="0">Bestaand!$B$41</definedName>
    <definedName name="BestaandKoopsom" localSheetId="0">Bestaand!$B$7</definedName>
    <definedName name="BestaandKostenAkkoord" localSheetId="0">Bestaand!$G$38</definedName>
    <definedName name="BestaandKostenEBV" localSheetId="0">Bestaand!$D$10</definedName>
    <definedName name="BestaandKostenExclEBMAkkoord" localSheetId="0">Bestaand!$G$37</definedName>
    <definedName name="BestaandKostenInclEBMAkkoord" localSheetId="0">Bestaand!$G$36</definedName>
    <definedName name="BestaandKostenKwaliteitsverbetering" localSheetId="0">Bestaand!$D$8</definedName>
    <definedName name="BestaandMarktwaarde" localSheetId="0">Bestaand!$B$32</definedName>
    <definedName name="BestaandMarktwaardeExclEbvTonen" localSheetId="0">Bestaand!$B$42</definedName>
    <definedName name="BestaandMarktwaardeNaVerbouwing" localSheetId="0">Bestaand!$B$33</definedName>
    <definedName name="BestaandMarktwaardeNaVerbouwingExclEBV" localSheetId="0">Bestaand!$B$19</definedName>
    <definedName name="BestaandNormKoopsom" localSheetId="0">Bestaand!$D$7</definedName>
    <definedName name="BestaandSubtotaalKostenExclEBM" localSheetId="0">Bestaand!$D$37</definedName>
    <definedName name="BestaandSubtotaalKostenInclEBM" localSheetId="0">Bestaand!$D$36</definedName>
    <definedName name="BestaandToetsmarktwaardeExclEbv">Bestaand!$B$45</definedName>
    <definedName name="BestaandToetsmarktwaardeInclEbv">Bestaand!$B$46</definedName>
    <definedName name="BestaandTotaleKostenExclEBV" localSheetId="0">Bestaand!$D$15</definedName>
    <definedName name="BestaandTotaleKostenInclEBV" localSheetId="0">Bestaand!$D$14</definedName>
    <definedName name="BestaandVerbouwingVanToepassing" localSheetId="0">Bestaand!$B$40</definedName>
    <definedName name="BestaandWaardestijgingspct" localSheetId="0">Bestaand!$B$44</definedName>
    <definedName name="MaxLTVMetEBV">Parameters!$B$7</definedName>
    <definedName name="MaxPctBijkomendeKosten">Parameters!$B$9</definedName>
    <definedName name="NHGGrens">Parameters!$B$3</definedName>
    <definedName name="NHGGrensMetEBV">Parameters!$B$4</definedName>
    <definedName name="NHGGrensStandplaats">Parameters!$B$5</definedName>
    <definedName name="NieuwbouwBijkomendeKosten" localSheetId="1">Nieuwbouw!$B$6</definedName>
    <definedName name="NieuwbouwEBB" localSheetId="1">Nieuwbouw!$D$8</definedName>
    <definedName name="NieuwbouwGrondslagMaxBijkomendeKosten" localSheetId="1">Nieuwbouw!$B$20</definedName>
    <definedName name="NieuwbouwKoopAanneemsom" localSheetId="1">Nieuwbouw!$D$4</definedName>
    <definedName name="NieuwbouwKostenAkkoord" localSheetId="1">Nieuwbouw!$G$23</definedName>
    <definedName name="NieuwbouwKostenEBV" localSheetId="1">Nieuwbouw!$D$7</definedName>
    <definedName name="NieuwbouwKostenExclEBMAkkoord" localSheetId="1">Nieuwbouw!$G$22</definedName>
    <definedName name="NieuwbouwKostenInclEBMAkkoord" localSheetId="1">Nieuwbouw!$G$21</definedName>
    <definedName name="NieuwbouwMeerwerk" localSheetId="1">Nieuwbouw!$D$5</definedName>
    <definedName name="NieuwbouwNormBijkomendeKosten" localSheetId="1">Nieuwbouw!$D$6</definedName>
    <definedName name="NieuwbouwSubtotaalKostenExclEBM" localSheetId="1">Nieuwbouw!$D$22</definedName>
    <definedName name="NieuwbouwSubtotaalKostenInclEBM" localSheetId="1">Nieuwbouw!$D$21</definedName>
    <definedName name="NieuwbouwTotaalKostenExclEBM" localSheetId="1">Nieuwbouw!$D$12</definedName>
    <definedName name="NieuwbouwTotaalKostenInclEBM" localSheetId="1">Nieuwbouw!$D$11</definedName>
    <definedName name="SituatieKwaliteitsverbetering">Bestaand!$B$49</definedName>
    <definedName name="StandplaatsBijkomendeKosten" localSheetId="2">Standplaats!$D$8</definedName>
    <definedName name="StandplaatsKoopsom" localSheetId="2">Standplaats!$B$7</definedName>
    <definedName name="StandplaatsKostenAkkoord" localSheetId="2">Standplaats!$B$22</definedName>
    <definedName name="StandplaatsMarktwaarde" localSheetId="2">Standplaats!$B$3</definedName>
    <definedName name="StandplaatsNormKoopsom" localSheetId="2">Standplaats!$D$7</definedName>
    <definedName name="StandplaatsTotaleKosten" localSheetId="2">Standplaats!$D$11</definedName>
    <definedName name="ToetsmarktwaardeExclEbv">Bestaand!$B$45</definedName>
    <definedName name="ToetsmarktwaardeExclEbvOmschrijving">'Omschrijvingen bij Bestaand'!$C$15</definedName>
    <definedName name="ToetsmarktwaardeInclEbv">Bestaand!$B$46</definedName>
    <definedName name="ToetsmarktwaardeInclEbvOmschrijving">'Omschrijvingen bij Bestaand'!$D$15</definedName>
    <definedName name="UitzonderingsregelEBMVanToepassing" localSheetId="0">Bestaand!$B$51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B33" i="1"/>
  <c r="B32" i="1"/>
  <c r="D7" i="1" s="1"/>
  <c r="C18" i="1"/>
  <c r="C3" i="1"/>
  <c r="D8" i="1"/>
  <c r="D11" i="1"/>
  <c r="D10" i="1"/>
  <c r="B41" i="1" s="1"/>
  <c r="D7" i="6"/>
  <c r="D8" i="6" s="1"/>
  <c r="C11" i="1"/>
  <c r="C10" i="1"/>
  <c r="C8" i="1"/>
  <c r="C7" i="1"/>
  <c r="C7" i="6"/>
  <c r="C3" i="6"/>
  <c r="C5" i="5"/>
  <c r="C8" i="5"/>
  <c r="C7" i="5"/>
  <c r="C6" i="5"/>
  <c r="C4" i="5"/>
  <c r="D8" i="5"/>
  <c r="D7" i="5"/>
  <c r="D5" i="5"/>
  <c r="D4" i="5"/>
  <c r="F11" i="6"/>
  <c r="F12" i="5"/>
  <c r="B51" i="1" l="1"/>
  <c r="D22" i="5"/>
  <c r="D21" i="5" s="1"/>
  <c r="D6" i="5" s="1"/>
  <c r="B42" i="1"/>
  <c r="A18" i="1" s="1"/>
  <c r="B49" i="1"/>
  <c r="D37" i="1"/>
  <c r="G37" i="1" s="1"/>
  <c r="G15" i="1" s="1"/>
  <c r="B40" i="1"/>
  <c r="B20" i="5"/>
  <c r="D11" i="6"/>
  <c r="G11" i="6" s="1"/>
  <c r="B22" i="6"/>
  <c r="F15" i="1"/>
  <c r="D16" i="6" l="1"/>
  <c r="D14" i="6"/>
  <c r="D15" i="6"/>
  <c r="D12" i="5"/>
  <c r="D11" i="5"/>
  <c r="B46" i="1"/>
  <c r="B44" i="1"/>
  <c r="B19" i="1" s="1"/>
  <c r="D36" i="1"/>
  <c r="D9" i="1" s="1"/>
  <c r="D15" i="1" s="1"/>
  <c r="B45" i="1" l="1"/>
  <c r="G36" i="1"/>
  <c r="G38" i="1" s="1"/>
  <c r="D14" i="1"/>
  <c r="D24" i="1" l="1"/>
  <c r="D22" i="1"/>
  <c r="D23" i="1"/>
  <c r="D18" i="1"/>
  <c r="G14" i="1"/>
  <c r="D25" i="1" l="1"/>
  <c r="B4" i="2"/>
  <c r="F11" i="5" l="1"/>
  <c r="F14" i="1"/>
  <c r="C15" i="3" l="1"/>
  <c r="A15" i="3"/>
  <c r="D15" i="3"/>
  <c r="A22" i="1" l="1"/>
  <c r="A23" i="1"/>
  <c r="G21" i="5" l="1"/>
  <c r="G22" i="5"/>
  <c r="G12" i="5" s="1"/>
  <c r="G23" i="5" l="1"/>
  <c r="G11" i="5"/>
</calcChain>
</file>

<file path=xl/sharedStrings.xml><?xml version="1.0" encoding="utf-8"?>
<sst xmlns="http://schemas.openxmlformats.org/spreadsheetml/2006/main" count="130" uniqueCount="91">
  <si>
    <t>Aankoop woonwagen: toetsen kosten en lening aan NHG-grens</t>
  </si>
  <si>
    <t>Taxatiewaarde</t>
  </si>
  <si>
    <t>Marktwaarde</t>
  </si>
  <si>
    <t>Kosten</t>
  </si>
  <si>
    <t>Werkelijke kosten</t>
  </si>
  <si>
    <t>Genormeerde kosten</t>
  </si>
  <si>
    <t>Koopsom</t>
  </si>
  <si>
    <t>(a)</t>
  </si>
  <si>
    <t>Kosten kwaliteitsverbetering excl. EBV</t>
  </si>
  <si>
    <t xml:space="preserve">(c) </t>
  </si>
  <si>
    <t>Bijkomende kosten</t>
  </si>
  <si>
    <t xml:space="preserve">(d) </t>
  </si>
  <si>
    <t>Kosten energiebesparende voorzieningen (EBV)</t>
  </si>
  <si>
    <t xml:space="preserve">(f) </t>
  </si>
  <si>
    <t>Energiebespaarbudget (EBB)</t>
  </si>
  <si>
    <t>+</t>
  </si>
  <si>
    <t>Totaal van de kosten, (a), (c), (d) en (f)</t>
  </si>
  <si>
    <t>Totaal van de kosten zonder energiebesparende maatregelen, (a), (c) en (d)</t>
  </si>
  <si>
    <t>Taxatiewaarden na verbouwing</t>
  </si>
  <si>
    <t>Marktwaarde na verbouwing excl. EBV</t>
  </si>
  <si>
    <t>Berekening van de maximale hypotheek</t>
  </si>
  <si>
    <t>De lening mag niet hoger zijn dan het totaal van de kosten.</t>
  </si>
  <si>
    <t>De maximale lening op basis van LTV is het minimum van deze bedragen.</t>
  </si>
  <si>
    <t>Disclaimer:</t>
  </si>
  <si>
    <t>Deze rekentool is met de grootst mogelijke zorgvuldigheid samengesteld. Bij eventuele afwijkingen met de V&amp;N 2025 prevaleren de V&amp;N 2025.</t>
  </si>
  <si>
    <t>Gecorrigeerde marktwaarden (voor als niet-getallen of negatieve waarden worden ingevoerd)</t>
  </si>
  <si>
    <t>Marktwaarde na verbouwing</t>
  </si>
  <si>
    <t>Bedrag</t>
  </si>
  <si>
    <t>Akkoord</t>
  </si>
  <si>
    <t>Subtotaal kosten incl EBM</t>
  </si>
  <si>
    <t>Subtotaal kosten excl EBM</t>
  </si>
  <si>
    <t>Kosten akkoord</t>
  </si>
  <si>
    <t>Verbouwing van toepassing</t>
  </si>
  <si>
    <t>EBV van toepassing</t>
  </si>
  <si>
    <t>Marktwaarde na verbouwing excl. EBV zinvol (combi kwaliteitsverbetering en EBV)</t>
  </si>
  <si>
    <t>Waardestijgingspct</t>
  </si>
  <si>
    <t>Toetsmarktwaarde excl. EBV</t>
  </si>
  <si>
    <t>Toetsmarktwaarde incl. EBV</t>
  </si>
  <si>
    <t>Situatie kwaliteitsverbetering</t>
  </si>
  <si>
    <t>Uitzonderingsregel EBM van toepassing</t>
  </si>
  <si>
    <t>Wordt gebruikt voor zichtbaarheid van 'De lening mag niet hoger zijn dan …% van de marktwaarde …'</t>
  </si>
  <si>
    <t>Aankoop nieuwbouwwoonwagen: toetsen kosten en lening aan NHG-grens</t>
  </si>
  <si>
    <t>Aannemingssom</t>
  </si>
  <si>
    <t>Saldo van meer- en minderwerk</t>
  </si>
  <si>
    <t>(b)</t>
  </si>
  <si>
    <t>Bijkomende kosten van de bouw</t>
  </si>
  <si>
    <t>Totaal van de kosten, (a), (b), (d) en (f)</t>
  </si>
  <si>
    <t>Totaal van de kosten zonder energiebesparende maatregelen, (a), (b) en (d)</t>
  </si>
  <si>
    <t>Grondslag max bijkomende kosten</t>
  </si>
  <si>
    <t>Subtotaal kosten incl. EBM</t>
  </si>
  <si>
    <t>Subtotaal kosten excl. EBM</t>
  </si>
  <si>
    <t>Aankoop woonwagenstandplaats: toetsen kosten en lening aan NHG-grens</t>
  </si>
  <si>
    <t>Totaal van de kosten, (a) en (b)</t>
  </si>
  <si>
    <t>De lening mag niet hoger zijn dan de marktwaarde.</t>
  </si>
  <si>
    <t>De lening mag niet hoger zijn dan de totale kosten.</t>
  </si>
  <si>
    <t>Omschrijvingen, afhankelijk van de situatie</t>
  </si>
  <si>
    <t>Situatie</t>
  </si>
  <si>
    <t>Index</t>
  </si>
  <si>
    <t>Omschrijving Toetsmarktwaarde excl EBV + kosten EBV + EBB</t>
  </si>
  <si>
    <t>Omschrijving Toetsmarktwaarde incl EBV</t>
  </si>
  <si>
    <t>Geen kwaliteitsverbetering/EBV/EBB</t>
  </si>
  <si>
    <t>de marktwaarde</t>
  </si>
  <si>
    <t>Alleen regulier</t>
  </si>
  <si>
    <t>de marktwaarde na verbouwing</t>
  </si>
  <si>
    <t>Alleen EBV</t>
  </si>
  <si>
    <t>de marktwaarde voor verbouwing, vermeerderd met de kosten EBV</t>
  </si>
  <si>
    <t>Regulier + EBV</t>
  </si>
  <si>
    <t>de marktwaarde na verbouwing excl. EBV, vermeerderd met de kosten EBV</t>
  </si>
  <si>
    <t>de marktwaarde na verbouwing incl. EBV</t>
  </si>
  <si>
    <t>Alleen EBB</t>
  </si>
  <si>
    <t>de marktwaarde, vermeerderd met het EBB</t>
  </si>
  <si>
    <t>Regulier + EBB</t>
  </si>
  <si>
    <t>de marktwaarde na verbouwing, vermeerderd met het EBB</t>
  </si>
  <si>
    <t>EBV + EBB</t>
  </si>
  <si>
    <t>de marktwaarde voor verbouwing, vermeerderd met de kosten EBV en het EBB</t>
  </si>
  <si>
    <t>Regulier + EBV + EBB</t>
  </si>
  <si>
    <t>de marktwaarde na verbouwing excl. EBV, vermeerderd met de kosten EBV en het EBB</t>
  </si>
  <si>
    <t>Geselecteerde regel:</t>
  </si>
  <si>
    <t>Toetsparameters</t>
  </si>
  <si>
    <t>NHG-grens</t>
  </si>
  <si>
    <t>NHG-grens met EBV</t>
  </si>
  <si>
    <t>NHG-grens standplaats</t>
  </si>
  <si>
    <t>Max LTV met EBV</t>
  </si>
  <si>
    <t>Max. percentage bijkomende kosten</t>
  </si>
  <si>
    <t>Versie</t>
  </si>
  <si>
    <t>Datum</t>
  </si>
  <si>
    <t>Opmerkingen</t>
  </si>
  <si>
    <t>Aandachtspunten voor uitlevering</t>
  </si>
  <si>
    <t>Hide tabs</t>
  </si>
  <si>
    <t>Verberg sheets met File - Options - Advanced - Show sheet tabs</t>
  </si>
  <si>
    <t>Wachtwoord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</si>
</sst>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Titillium Web"/>
    </font>
    <font>
      <b/>
      <sz val="11"/>
      <color theme="1"/>
      <name val="Titillium Web"/>
    </font>
    <font>
      <sz val="11"/>
      <color theme="1"/>
      <name val="Titillium Web"/>
    </font>
    <font>
      <b/>
      <sz val="11"/>
      <color rgb="FFFF0000"/>
      <name val="Titillium Web"/>
    </font>
    <font>
      <i/>
      <sz val="11"/>
      <color theme="1"/>
      <name val="Titillium Web"/>
    </font>
    <font>
      <sz val="11"/>
      <name val="Titillium Web"/>
    </font>
    <font>
      <b/>
      <i/>
      <sz val="11"/>
      <color theme="1"/>
      <name val="Titillium Web"/>
    </font>
    <font>
      <b/>
      <sz val="11"/>
      <name val="Titillium Web"/>
    </font>
    <font>
      <sz val="11"/>
      <color rgb="FFFF0000"/>
      <name val="Titillium Web"/>
    </font>
    <font>
      <i/>
      <sz val="10"/>
      <color theme="1"/>
      <name val="Titillium Web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44" fontId="0" fillId="2" borderId="1" xfId="1" applyFont="1" applyFill="1" applyBorder="1"/>
    <xf numFmtId="9" fontId="0" fillId="2" borderId="1" xfId="2" applyFont="1" applyFill="1" applyBorder="1"/>
    <xf numFmtId="0" fontId="2" fillId="3" borderId="0" xfId="0" applyFont="1" applyFill="1"/>
    <xf numFmtId="0" fontId="0" fillId="3" borderId="0" xfId="0" applyFill="1"/>
    <xf numFmtId="44" fontId="0" fillId="3" borderId="1" xfId="0" applyNumberFormat="1" applyFill="1" applyBorder="1"/>
    <xf numFmtId="0" fontId="3" fillId="3" borderId="0" xfId="0" applyFont="1" applyFill="1"/>
    <xf numFmtId="9" fontId="0" fillId="3" borderId="0" xfId="2" applyFont="1" applyFill="1"/>
    <xf numFmtId="44" fontId="0" fillId="0" borderId="1" xfId="1" applyFont="1" applyFill="1" applyBorder="1" applyProtection="1">
      <protection locked="0"/>
    </xf>
    <xf numFmtId="164" fontId="0" fillId="3" borderId="1" xfId="3" applyNumberFormat="1" applyFont="1" applyFill="1" applyBorder="1" applyProtection="1"/>
    <xf numFmtId="0" fontId="0" fillId="3" borderId="1" xfId="0" applyFill="1" applyBorder="1"/>
    <xf numFmtId="0" fontId="2" fillId="0" borderId="0" xfId="0" applyFon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1" xfId="0" applyBorder="1"/>
    <xf numFmtId="0" fontId="0" fillId="0" borderId="0" xfId="0" applyAlignment="1">
      <alignment vertical="center"/>
    </xf>
    <xf numFmtId="0" fontId="4" fillId="0" borderId="0" xfId="0" applyFont="1"/>
    <xf numFmtId="164" fontId="0" fillId="0" borderId="1" xfId="3" applyNumberFormat="1" applyFont="1" applyFill="1" applyBorder="1" applyProtection="1"/>
    <xf numFmtId="44" fontId="0" fillId="2" borderId="1" xfId="0" applyNumberFormat="1" applyFill="1" applyBorder="1" applyProtection="1">
      <protection locked="0"/>
    </xf>
    <xf numFmtId="44" fontId="0" fillId="0" borderId="1" xfId="1" applyFont="1" applyBorder="1"/>
    <xf numFmtId="44" fontId="2" fillId="0" borderId="1" xfId="1" applyFont="1" applyFill="1" applyBorder="1" applyProtection="1"/>
    <xf numFmtId="10" fontId="0" fillId="0" borderId="1" xfId="2" applyNumberFormat="1" applyFont="1" applyBorder="1"/>
    <xf numFmtId="0" fontId="5" fillId="2" borderId="0" xfId="0" applyFont="1" applyFill="1" applyAlignment="1">
      <alignment vertical="center"/>
    </xf>
    <xf numFmtId="0" fontId="6" fillId="3" borderId="3" xfId="0" applyFont="1" applyFill="1" applyBorder="1"/>
    <xf numFmtId="0" fontId="7" fillId="3" borderId="3" xfId="0" applyFont="1" applyFill="1" applyBorder="1"/>
    <xf numFmtId="0" fontId="7" fillId="3" borderId="0" xfId="0" applyFont="1" applyFill="1"/>
    <xf numFmtId="44" fontId="7" fillId="0" borderId="1" xfId="1" applyFont="1" applyBorder="1" applyProtection="1">
      <protection locked="0"/>
    </xf>
    <xf numFmtId="0" fontId="8" fillId="3" borderId="0" xfId="0" applyFont="1" applyFill="1"/>
    <xf numFmtId="0" fontId="7" fillId="3" borderId="4" xfId="0" applyFont="1" applyFill="1" applyBorder="1"/>
    <xf numFmtId="44" fontId="7" fillId="3" borderId="4" xfId="1" applyFont="1" applyFill="1" applyBorder="1"/>
    <xf numFmtId="0" fontId="9" fillId="3" borderId="4" xfId="0" applyFont="1" applyFill="1" applyBorder="1"/>
    <xf numFmtId="0" fontId="6" fillId="3" borderId="0" xfId="0" applyFont="1" applyFill="1" applyAlignment="1">
      <alignment horizontal="center"/>
    </xf>
    <xf numFmtId="44" fontId="7" fillId="0" borderId="1" xfId="1" applyFont="1" applyFill="1" applyBorder="1" applyProtection="1">
      <protection locked="0"/>
    </xf>
    <xf numFmtId="44" fontId="7" fillId="3" borderId="1" xfId="1" applyFont="1" applyFill="1" applyBorder="1"/>
    <xf numFmtId="44" fontId="7" fillId="0" borderId="1" xfId="1" quotePrefix="1" applyFont="1" applyFill="1" applyBorder="1" applyProtection="1">
      <protection locked="0"/>
    </xf>
    <xf numFmtId="44" fontId="7" fillId="3" borderId="0" xfId="1" applyFont="1" applyFill="1" applyBorder="1"/>
    <xf numFmtId="0" fontId="10" fillId="3" borderId="0" xfId="0" applyFont="1" applyFill="1"/>
    <xf numFmtId="0" fontId="7" fillId="3" borderId="2" xfId="0" applyFont="1" applyFill="1" applyBorder="1"/>
    <xf numFmtId="44" fontId="7" fillId="3" borderId="0" xfId="0" quotePrefix="1" applyNumberFormat="1" applyFont="1" applyFill="1"/>
    <xf numFmtId="44" fontId="7" fillId="3" borderId="0" xfId="0" applyNumberFormat="1" applyFont="1" applyFill="1"/>
    <xf numFmtId="44" fontId="6" fillId="4" borderId="1" xfId="0" applyNumberFormat="1" applyFont="1" applyFill="1" applyBorder="1"/>
    <xf numFmtId="0" fontId="11" fillId="4" borderId="1" xfId="0" applyFont="1" applyFill="1" applyBorder="1" applyAlignment="1">
      <alignment horizontal="center"/>
    </xf>
    <xf numFmtId="0" fontId="10" fillId="3" borderId="4" xfId="0" applyFont="1" applyFill="1" applyBorder="1"/>
    <xf numFmtId="0" fontId="12" fillId="3" borderId="3" xfId="0" applyFont="1" applyFill="1" applyBorder="1"/>
    <xf numFmtId="0" fontId="13" fillId="3" borderId="0" xfId="0" applyFont="1" applyFill="1"/>
    <xf numFmtId="44" fontId="7" fillId="3" borderId="1" xfId="1" applyFont="1" applyFill="1" applyBorder="1" applyProtection="1"/>
    <xf numFmtId="0" fontId="6" fillId="3" borderId="0" xfId="0" applyFont="1" applyFill="1"/>
    <xf numFmtId="0" fontId="7" fillId="3" borderId="0" xfId="0" applyFont="1" applyFill="1" applyAlignment="1">
      <alignment horizontal="left"/>
    </xf>
    <xf numFmtId="44" fontId="7" fillId="4" borderId="1" xfId="1" applyFont="1" applyFill="1" applyBorder="1"/>
    <xf numFmtId="44" fontId="7" fillId="4" borderId="1" xfId="1" applyFont="1" applyFill="1" applyBorder="1" applyProtection="1"/>
    <xf numFmtId="44" fontId="6" fillId="4" borderId="1" xfId="1" applyFont="1" applyFill="1" applyBorder="1"/>
    <xf numFmtId="0" fontId="13" fillId="3" borderId="0" xfId="0" applyFont="1" applyFill="1" applyAlignment="1">
      <alignment horizontal="left" vertical="top" wrapText="1"/>
    </xf>
    <xf numFmtId="0" fontId="14" fillId="3" borderId="3" xfId="0" applyFont="1" applyFill="1" applyBorder="1"/>
    <xf numFmtId="0" fontId="14" fillId="3" borderId="4" xfId="0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44" fontId="7" fillId="3" borderId="0" xfId="1" applyFont="1" applyFill="1" applyBorder="1" applyProtection="1"/>
    <xf numFmtId="44" fontId="6" fillId="3" borderId="4" xfId="0" applyNumberFormat="1" applyFont="1" applyFill="1" applyBorder="1"/>
    <xf numFmtId="0" fontId="11" fillId="3" borderId="4" xfId="0" applyFont="1" applyFill="1" applyBorder="1" applyAlignment="1">
      <alignment horizontal="center"/>
    </xf>
    <xf numFmtId="44" fontId="7" fillId="2" borderId="1" xfId="1" applyFont="1" applyFill="1" applyBorder="1" applyProtection="1">
      <protection locked="0"/>
    </xf>
    <xf numFmtId="0" fontId="3" fillId="0" borderId="0" xfId="0" applyFont="1"/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0" tint="-0.24994659260841701"/>
      </font>
    </dxf>
    <dxf>
      <numFmt numFmtId="19" formatCode="d/m/yyyy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76199</xdr:rowOff>
    </xdr:from>
    <xdr:to>
      <xdr:col>7</xdr:col>
      <xdr:colOff>1981650</xdr:colOff>
      <xdr:row>7</xdr:row>
      <xdr:rowOff>196424</xdr:rowOff>
    </xdr:to>
    <xdr:sp macro="" textlink="">
      <xdr:nvSpPr>
        <xdr:cNvPr id="7" name="Rectangular Callou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077325" y="1552574"/>
          <a:ext cx="5544000" cy="1368000"/>
        </a:xfrm>
        <a:prstGeom prst="wedgeRectCallout">
          <a:avLst>
            <a:gd name="adj1" fmla="val -57183"/>
            <a:gd name="adj2" fmla="val 2425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Genormeerde koopsom, zie (a) in C.2.3.1: </a:t>
          </a:r>
        </a:p>
        <a:p>
          <a:r>
            <a:rPr lang="nl-NL" sz="110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Het laagste bedrag van: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 - De koopsom van de woonwagen zonder de kosten voor andere roerende zaken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 - De marktwaarde vrij van huur en gebruik van vóór uitvoering van eventuele verbouwingen. 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Deze waarde moet blijken uit een taxatie die aan onze regels voldoet.</a:t>
          </a:r>
          <a:endParaRPr lang="nl-NL">
            <a:effectLst/>
            <a:latin typeface="Titillium Web" panose="00000500000000000000" pitchFamily="2" charset="0"/>
          </a:endParaRPr>
        </a:p>
      </xdr:txBody>
    </xdr:sp>
    <xdr:clientData/>
  </xdr:twoCellAnchor>
  <xdr:twoCellAnchor>
    <xdr:from>
      <xdr:col>5</xdr:col>
      <xdr:colOff>380999</xdr:colOff>
      <xdr:row>8</xdr:row>
      <xdr:rowOff>57150</xdr:rowOff>
    </xdr:from>
    <xdr:to>
      <xdr:col>7</xdr:col>
      <xdr:colOff>1991174</xdr:colOff>
      <xdr:row>9</xdr:row>
      <xdr:rowOff>152400</xdr:rowOff>
    </xdr:to>
    <xdr:sp macro="" textlink="">
      <xdr:nvSpPr>
        <xdr:cNvPr id="9" name="Rectangular Callou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086849" y="2628900"/>
          <a:ext cx="5544000" cy="285750"/>
        </a:xfrm>
        <a:prstGeom prst="wedgeRectCallout">
          <a:avLst>
            <a:gd name="adj1" fmla="val -56040"/>
            <a:gd name="adj2" fmla="val -35392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lang="nl-NL" sz="110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Het hoogste toegestane bedrag dat nog onder de NHG-grens past. Zie (d) in C.2.3.1.</a:t>
          </a:r>
          <a:endParaRPr lang="nl-NL">
            <a:solidFill>
              <a:srgbClr val="FF0000"/>
            </a:solidFill>
            <a:effectLst/>
            <a:latin typeface="Titillium Web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1162049</xdr:colOff>
      <xdr:row>0</xdr:row>
      <xdr:rowOff>111124</xdr:rowOff>
    </xdr:from>
    <xdr:to>
      <xdr:col>7</xdr:col>
      <xdr:colOff>1080610</xdr:colOff>
      <xdr:row>0</xdr:row>
      <xdr:rowOff>1066482</xdr:rowOff>
    </xdr:to>
    <xdr:pic>
      <xdr:nvPicPr>
        <xdr:cNvPr id="13" name="Graphic 12">
          <a:extLst>
            <a:ext uri="{FF2B5EF4-FFF2-40B4-BE49-F238E27FC236}">
              <a16:creationId xmlns:a16="http://schemas.microsoft.com/office/drawing/2014/main" id="{9A6B0F2E-4B34-4EC1-BAB8-1D6BAE7D6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287249" y="111124"/>
          <a:ext cx="1433036" cy="955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3</xdr:row>
      <xdr:rowOff>180975</xdr:rowOff>
    </xdr:from>
    <xdr:to>
      <xdr:col>7</xdr:col>
      <xdr:colOff>1895924</xdr:colOff>
      <xdr:row>8</xdr:row>
      <xdr:rowOff>51050</xdr:rowOff>
    </xdr:to>
    <xdr:sp macro="" textlink="">
      <xdr:nvSpPr>
        <xdr:cNvPr id="3" name="Rectangular Callout 8">
          <a:extLst>
            <a:ext uri="{FF2B5EF4-FFF2-40B4-BE49-F238E27FC236}">
              <a16:creationId xmlns:a16="http://schemas.microsoft.com/office/drawing/2014/main" id="{61392EAE-E480-4DEC-B5CA-B0427F0F1863}"/>
            </a:ext>
          </a:extLst>
        </xdr:cNvPr>
        <xdr:cNvSpPr/>
      </xdr:nvSpPr>
      <xdr:spPr>
        <a:xfrm>
          <a:off x="8991599" y="1790700"/>
          <a:ext cx="5544000" cy="822575"/>
        </a:xfrm>
        <a:prstGeom prst="wedgeRectCallout">
          <a:avLst>
            <a:gd name="adj1" fmla="val -55312"/>
            <a:gd name="adj2" fmla="val -1397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eaLnBrk="1" fontAlgn="auto" latinLnBrk="0" hangingPunct="1"/>
          <a:r>
            <a:rPr lang="nl-NL" sz="110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Bijkomende kosten van de bouw: renteverlies tijdens de bouw, bouwrente en aansluiting op nutsvoorzieningen. Dit is gemaximeerd tot 6% van de som van (a), (b) en (f) en het hoogste toegestane bedrag dat nog onder de NHG-grens past. Het bedrag van de genormeerde kosten is het maximale bedrag dat aan bijkomende kosten meegefinancierd kan worden.</a:t>
          </a:r>
          <a:endParaRPr lang="nl-NL" b="1" i="1">
            <a:solidFill>
              <a:srgbClr val="C00000"/>
            </a:solidFill>
            <a:effectLst/>
            <a:latin typeface="Titillium Web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1162049</xdr:colOff>
      <xdr:row>0</xdr:row>
      <xdr:rowOff>111124</xdr:rowOff>
    </xdr:from>
    <xdr:to>
      <xdr:col>7</xdr:col>
      <xdr:colOff>1080610</xdr:colOff>
      <xdr:row>0</xdr:row>
      <xdr:rowOff>1066482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5AC246E0-68C1-497C-B38F-9580435B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287249" y="111124"/>
          <a:ext cx="1433036" cy="955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28575</xdr:rowOff>
    </xdr:from>
    <xdr:to>
      <xdr:col>7</xdr:col>
      <xdr:colOff>1981650</xdr:colOff>
      <xdr:row>6</xdr:row>
      <xdr:rowOff>216450</xdr:rowOff>
    </xdr:to>
    <xdr:sp macro="" textlink="">
      <xdr:nvSpPr>
        <xdr:cNvPr id="2" name="Rectangular Callout 6">
          <a:extLst>
            <a:ext uri="{FF2B5EF4-FFF2-40B4-BE49-F238E27FC236}">
              <a16:creationId xmlns:a16="http://schemas.microsoft.com/office/drawing/2014/main" id="{FA856A39-F25E-404D-9637-75758AC475E9}"/>
            </a:ext>
          </a:extLst>
        </xdr:cNvPr>
        <xdr:cNvSpPr/>
      </xdr:nvSpPr>
      <xdr:spPr>
        <a:xfrm>
          <a:off x="9077325" y="1504950"/>
          <a:ext cx="5544000" cy="1188000"/>
        </a:xfrm>
        <a:prstGeom prst="wedgeRectCallout">
          <a:avLst>
            <a:gd name="adj1" fmla="val -57379"/>
            <a:gd name="adj2" fmla="val 41298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Genormeerde koopsom, zie (a) in C.2.4.1: </a:t>
          </a:r>
          <a:endParaRPr lang="nl-NL">
            <a:effectLst/>
            <a:latin typeface="Titillium Web" panose="00000500000000000000" pitchFamily="2" charset="0"/>
          </a:endParaRPr>
        </a:p>
        <a:p>
          <a:r>
            <a:rPr lang="nl-NL" sz="1100" b="0" i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Het laagste bedrag van: </a:t>
          </a:r>
        </a:p>
        <a:p>
          <a:r>
            <a:rPr lang="nl-NL" sz="1100" b="0" i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-</a:t>
          </a:r>
          <a:r>
            <a:rPr lang="nl-NL" sz="1100" b="0" i="0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De koopsom van de woonwagenstandplaats, zonder de kosten voor andere roerende zaken </a:t>
          </a:r>
        </a:p>
        <a:p>
          <a:r>
            <a:rPr lang="nl-NL" sz="1100" b="0" i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-</a:t>
          </a:r>
          <a:r>
            <a:rPr lang="nl-NL" sz="1100" b="0" i="0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De marktwaarde vrij van huur en gebruik volgens een taxatie die aan onze regels voldoet.</a:t>
          </a:r>
        </a:p>
      </xdr:txBody>
    </xdr:sp>
    <xdr:clientData/>
  </xdr:twoCellAnchor>
  <xdr:twoCellAnchor editAs="oneCell">
    <xdr:from>
      <xdr:col>6</xdr:col>
      <xdr:colOff>1162049</xdr:colOff>
      <xdr:row>0</xdr:row>
      <xdr:rowOff>111124</xdr:rowOff>
    </xdr:from>
    <xdr:to>
      <xdr:col>7</xdr:col>
      <xdr:colOff>1080610</xdr:colOff>
      <xdr:row>0</xdr:row>
      <xdr:rowOff>1066482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DC27074-6791-45EB-A658-2124E3FBA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287249" y="111124"/>
          <a:ext cx="1433036" cy="955358"/>
        </a:xfrm>
        <a:prstGeom prst="rect">
          <a:avLst/>
        </a:prstGeom>
      </xdr:spPr>
    </xdr:pic>
    <xdr:clientData/>
  </xdr:twoCellAnchor>
  <xdr:twoCellAnchor>
    <xdr:from>
      <xdr:col>5</xdr:col>
      <xdr:colOff>371474</xdr:colOff>
      <xdr:row>7</xdr:row>
      <xdr:rowOff>19050</xdr:rowOff>
    </xdr:from>
    <xdr:to>
      <xdr:col>7</xdr:col>
      <xdr:colOff>1981649</xdr:colOff>
      <xdr:row>8</xdr:row>
      <xdr:rowOff>114300</xdr:rowOff>
    </xdr:to>
    <xdr:sp macro="" textlink="">
      <xdr:nvSpPr>
        <xdr:cNvPr id="5" name="Rectangular Callout 8">
          <a:extLst>
            <a:ext uri="{FF2B5EF4-FFF2-40B4-BE49-F238E27FC236}">
              <a16:creationId xmlns:a16="http://schemas.microsoft.com/office/drawing/2014/main" id="{B3FEFB6A-0539-4F39-AB67-1B19E95E978D}"/>
            </a:ext>
          </a:extLst>
        </xdr:cNvPr>
        <xdr:cNvSpPr/>
      </xdr:nvSpPr>
      <xdr:spPr>
        <a:xfrm>
          <a:off x="9077324" y="2400300"/>
          <a:ext cx="5544000" cy="285750"/>
        </a:xfrm>
        <a:prstGeom prst="wedgeRectCallout">
          <a:avLst>
            <a:gd name="adj1" fmla="val -56883"/>
            <a:gd name="adj2" fmla="val -28726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lang="nl-NL" sz="110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Het hoogste toegestane bedrag dat nog onder de NHG-grens past. Zie (b) in C.2.4.1.</a:t>
          </a:r>
          <a:endParaRPr lang="nl-NL">
            <a:solidFill>
              <a:srgbClr val="FF0000"/>
            </a:solidFill>
            <a:effectLst/>
            <a:latin typeface="Titillium Web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OmschrijvingenToetsmarktwaarden" displayName="TbOmschrijvingenToetsmarktwaarden" ref="A4:D12" totalsRowShown="0">
  <autoFilter ref="A4:D1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Situatie" dataDxfId="17"/>
    <tableColumn id="2" xr3:uid="{00000000-0010-0000-0000-000002000000}" name="Index" dataDxfId="16"/>
    <tableColumn id="3" xr3:uid="{00000000-0010-0000-0000-000003000000}" name="Omschrijving Toetsmarktwaarde excl EBV + kosten EBV + EBB" dataDxfId="15"/>
    <tableColumn id="4" xr3:uid="{00000000-0010-0000-0000-000004000000}" name="Omschrijving Toetsmarktwaarde incl EBV" dataDxfId="1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050B10-7C23-408F-B877-D17C4065E3B0}" name="Table2" displayName="Table2" ref="A2:C3" totalsRowShown="0" headerRowDxfId="13">
  <autoFilter ref="A2:C3" xr:uid="{CEF22296-5548-4931-9680-27BA75F6AFC8}">
    <filterColumn colId="0" hiddenButton="1"/>
    <filterColumn colId="1" hiddenButton="1"/>
    <filterColumn colId="2" hiddenButton="1"/>
  </autoFilter>
  <tableColumns count="3">
    <tableColumn id="1" xr3:uid="{16562263-AC74-453D-BE1D-EC19B218DA2E}" name="Versie" dataDxfId="12"/>
    <tableColumn id="2" xr3:uid="{FDAB4BAE-2AAD-4809-9A48-FE8A921CED2F}" name="Datum" dataDxfId="11"/>
    <tableColumn id="3" xr3:uid="{C6C9F888-7DD9-42D1-9DBB-5C200694C96F}" name="Opmerki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GridLines="0" showRowColHeaders="0" tabSelected="1" zoomScaleNormal="100" workbookViewId="0">
      <selection activeCell="B3" sqref="B3"/>
    </sheetView>
  </sheetViews>
  <sheetFormatPr defaultColWidth="0" defaultRowHeight="14.5" zeroHeight="1" x14ac:dyDescent="0.35"/>
  <cols>
    <col min="1" max="1" width="91.453125" customWidth="1"/>
    <col min="2" max="2" width="15.7265625" customWidth="1"/>
    <col min="3" max="3" width="4" customWidth="1"/>
    <col min="4" max="4" width="15.7265625" customWidth="1"/>
    <col min="5" max="5" width="3.7265625" customWidth="1"/>
    <col min="6" max="6" width="36.26953125" customWidth="1"/>
    <col min="7" max="7" width="22.7265625" customWidth="1"/>
    <col min="8" max="8" width="30.7265625" customWidth="1"/>
    <col min="9" max="9" width="12.453125" hidden="1" customWidth="1"/>
    <col min="10" max="13" width="0" hidden="1" customWidth="1"/>
    <col min="14" max="14" width="12.453125" hidden="1" customWidth="1"/>
    <col min="15" max="16384" width="9.1796875" hidden="1"/>
  </cols>
  <sheetData>
    <row r="1" spans="1:8" s="15" customFormat="1" ht="96.75" customHeight="1" thickBot="1" x14ac:dyDescent="0.4">
      <c r="A1" s="22" t="s">
        <v>0</v>
      </c>
      <c r="B1" s="22"/>
      <c r="C1" s="22"/>
      <c r="D1" s="22"/>
      <c r="E1" s="22"/>
      <c r="F1" s="22"/>
      <c r="G1" s="22"/>
      <c r="H1" s="22">
        <v>2025</v>
      </c>
    </row>
    <row r="2" spans="1:8" ht="19" x14ac:dyDescent="0.65">
      <c r="A2" s="23" t="s">
        <v>1</v>
      </c>
      <c r="B2" s="24"/>
      <c r="C2" s="24"/>
      <c r="D2" s="24"/>
      <c r="E2" s="24"/>
      <c r="F2" s="24"/>
      <c r="G2" s="24"/>
      <c r="H2" s="24"/>
    </row>
    <row r="3" spans="1:8" ht="19" x14ac:dyDescent="0.65">
      <c r="A3" s="25" t="s">
        <v>2</v>
      </c>
      <c r="B3" s="26">
        <v>0</v>
      </c>
      <c r="C3" s="27" t="str">
        <f>IF(OR(NOT(ISNUMBER(B3)),B3&lt;0),"!", "")</f>
        <v/>
      </c>
      <c r="D3" s="25"/>
      <c r="E3" s="25"/>
      <c r="F3" s="25"/>
      <c r="G3" s="25"/>
      <c r="H3" s="25"/>
    </row>
    <row r="4" spans="1:8" ht="19.5" thickBot="1" x14ac:dyDescent="0.7">
      <c r="A4" s="28"/>
      <c r="B4" s="29"/>
      <c r="C4" s="30"/>
      <c r="D4" s="28"/>
      <c r="E4" s="28"/>
      <c r="F4" s="28"/>
      <c r="G4" s="28"/>
      <c r="H4" s="28"/>
    </row>
    <row r="5" spans="1:8" ht="19" x14ac:dyDescent="0.65">
      <c r="A5" s="23" t="s">
        <v>3</v>
      </c>
      <c r="B5" s="24"/>
      <c r="C5" s="24"/>
      <c r="D5" s="23"/>
      <c r="E5" s="24"/>
      <c r="F5" s="24"/>
      <c r="G5" s="24"/>
      <c r="H5" s="24"/>
    </row>
    <row r="6" spans="1:8" ht="19" x14ac:dyDescent="0.65">
      <c r="A6" s="25"/>
      <c r="B6" s="31" t="s">
        <v>4</v>
      </c>
      <c r="C6" s="25"/>
      <c r="D6" s="31" t="s">
        <v>5</v>
      </c>
      <c r="E6" s="25"/>
      <c r="F6" s="25"/>
      <c r="G6" s="25"/>
      <c r="H6" s="25"/>
    </row>
    <row r="7" spans="1:8" ht="19" x14ac:dyDescent="0.65">
      <c r="A7" s="25" t="s">
        <v>6</v>
      </c>
      <c r="B7" s="32">
        <v>0</v>
      </c>
      <c r="C7" s="27" t="str">
        <f>IF(OR(NOT(ISNUMBER(B7)),B7&lt;0),"!", "")</f>
        <v/>
      </c>
      <c r="D7" s="33">
        <f>IF(ISNUMBER(BestaandKoopsom),MAX(0,MIN(BestaandKoopsom,BestaandMarktwaarde)),0)</f>
        <v>0</v>
      </c>
      <c r="E7" s="25" t="s">
        <v>7</v>
      </c>
      <c r="F7" s="25"/>
      <c r="G7" s="25"/>
      <c r="H7" s="25"/>
    </row>
    <row r="8" spans="1:8" ht="19" x14ac:dyDescent="0.65">
      <c r="A8" s="25" t="s">
        <v>8</v>
      </c>
      <c r="B8" s="34">
        <v>0</v>
      </c>
      <c r="C8" s="27" t="str">
        <f>IF(OR(NOT(ISNUMBER(B8)),B8&lt;0),"!", "")</f>
        <v/>
      </c>
      <c r="D8" s="33">
        <f>IF(ISNUMBER(B8),MAX(0,B8),0)</f>
        <v>0</v>
      </c>
      <c r="E8" s="25" t="s">
        <v>9</v>
      </c>
      <c r="F8" s="25"/>
      <c r="G8" s="25"/>
      <c r="H8" s="25"/>
    </row>
    <row r="9" spans="1:8" ht="19" x14ac:dyDescent="0.65">
      <c r="A9" s="25" t="s">
        <v>10</v>
      </c>
      <c r="B9" s="35"/>
      <c r="C9" s="25"/>
      <c r="D9" s="33">
        <f>ROUNDDOWN(MAX(0,MIN(NHGGrensMetEBV-BestaandSubtotaalKostenInclEBM,NHGGrens-BestaandSubtotaalKostenExclEBM,MaxPctBijkomendeKosten * BestaandSubtotaalKostenInclEBM)),2)</f>
        <v>0</v>
      </c>
      <c r="E9" s="25" t="s">
        <v>11</v>
      </c>
      <c r="F9" s="25"/>
      <c r="G9" s="25"/>
      <c r="H9" s="25"/>
    </row>
    <row r="10" spans="1:8" ht="19" x14ac:dyDescent="0.65">
      <c r="A10" s="25" t="s">
        <v>12</v>
      </c>
      <c r="B10" s="32">
        <v>0</v>
      </c>
      <c r="C10" s="27" t="str">
        <f>IF(OR(NOT(ISNUMBER(B10)),B10&lt;0),"!", "")</f>
        <v/>
      </c>
      <c r="D10" s="33">
        <f>IF(ISNUMBER(B10),MAX(0,B10),0)</f>
        <v>0</v>
      </c>
      <c r="E10" s="25" t="s">
        <v>13</v>
      </c>
      <c r="F10" s="25"/>
      <c r="G10" s="25"/>
      <c r="H10" s="25"/>
    </row>
    <row r="11" spans="1:8" ht="19" x14ac:dyDescent="0.65">
      <c r="A11" s="36" t="s">
        <v>14</v>
      </c>
      <c r="B11" s="32">
        <v>0</v>
      </c>
      <c r="C11" s="27" t="str">
        <f>IF(OR(NOT(ISNUMBER(B11)),B11&lt;0),"!", "")</f>
        <v/>
      </c>
      <c r="D11" s="33">
        <f>IF(ISNUMBER(B11),MAX(0,B11),0)</f>
        <v>0</v>
      </c>
      <c r="E11" s="25" t="s">
        <v>13</v>
      </c>
      <c r="F11" s="25"/>
      <c r="G11" s="25"/>
      <c r="H11" s="25"/>
    </row>
    <row r="12" spans="1:8" ht="19" x14ac:dyDescent="0.65">
      <c r="A12" s="25"/>
      <c r="B12" s="35"/>
      <c r="C12" s="25"/>
      <c r="D12" s="37"/>
      <c r="E12" s="38" t="s">
        <v>15</v>
      </c>
      <c r="F12" s="38"/>
      <c r="G12" s="25"/>
      <c r="H12" s="25"/>
    </row>
    <row r="13" spans="1:8" ht="19" x14ac:dyDescent="0.65">
      <c r="A13" s="25"/>
      <c r="B13" s="35"/>
      <c r="C13" s="25"/>
      <c r="D13" s="25"/>
      <c r="E13" s="39"/>
      <c r="F13" s="39"/>
      <c r="G13" s="25"/>
      <c r="H13" s="25"/>
    </row>
    <row r="14" spans="1:8" ht="19" x14ac:dyDescent="0.65">
      <c r="A14" s="25" t="s">
        <v>16</v>
      </c>
      <c r="B14" s="35"/>
      <c r="C14" s="25"/>
      <c r="D14" s="40">
        <f>BestaandSubtotaalKostenInclEBM+BestaandBijkomendeKosten</f>
        <v>0</v>
      </c>
      <c r="E14" s="25"/>
      <c r="F14" s="25" t="str">
        <f>"Dit mag niet hoger zijn dan "&amp;TEXT(NHGGrensMetEBV,"€ 0.000")&amp;"."</f>
        <v>Dit mag niet hoger zijn dan € 182.320.</v>
      </c>
      <c r="G14" s="41" t="str">
        <f>IF(BestaandKostenInclEBMAkkoord, "Akkoord", "NHG is niet mogelijk")</f>
        <v>Akkoord</v>
      </c>
      <c r="H14" s="25"/>
    </row>
    <row r="15" spans="1:8" ht="19" x14ac:dyDescent="0.65">
      <c r="A15" s="25" t="s">
        <v>17</v>
      </c>
      <c r="B15" s="35"/>
      <c r="C15" s="25"/>
      <c r="D15" s="40">
        <f>BestaandSubtotaalKostenExclEBM+BestaandBijkomendeKosten</f>
        <v>0</v>
      </c>
      <c r="E15" s="39"/>
      <c r="F15" s="25" t="str">
        <f>"Dit mag niet hoger zijn dan "&amp;TEXT(NHGGrens,"€ 0.000")&amp;"."</f>
        <v>Dit mag niet hoger zijn dan € 172.000.</v>
      </c>
      <c r="G15" s="41" t="str">
        <f>IF(BestaandKostenExclEBMAkkoord, "Akkoord", "NHG is niet mogelijk")</f>
        <v>Akkoord</v>
      </c>
      <c r="H15" s="25"/>
    </row>
    <row r="16" spans="1:8" ht="19.5" thickBot="1" x14ac:dyDescent="0.7">
      <c r="A16" s="42"/>
      <c r="B16" s="28"/>
      <c r="C16" s="28"/>
      <c r="D16" s="28"/>
      <c r="E16" s="28"/>
      <c r="F16" s="28"/>
      <c r="G16" s="28"/>
      <c r="H16" s="28"/>
    </row>
    <row r="17" spans="1:8" ht="19" x14ac:dyDescent="0.65">
      <c r="A17" s="43" t="s">
        <v>18</v>
      </c>
      <c r="B17" s="24"/>
      <c r="C17" s="24"/>
      <c r="D17" s="24"/>
      <c r="E17" s="24"/>
      <c r="F17" s="24"/>
      <c r="G17" s="24"/>
      <c r="H17" s="24"/>
    </row>
    <row r="18" spans="1:8" ht="19" x14ac:dyDescent="0.65">
      <c r="A18" s="25" t="str">
        <f>"Marktwaarde na verbouwing"&amp;IF(BestaandMarktwaardeExclEbvTonen," incl. EBV","")</f>
        <v>Marktwaarde na verbouwing</v>
      </c>
      <c r="B18" s="26">
        <v>0</v>
      </c>
      <c r="C18" s="27" t="str">
        <f>IF(OR(NOT(ISNUMBER(B18)),B18&lt;0),"!", "")</f>
        <v/>
      </c>
      <c r="D18" s="44" t="str">
        <f>IF(BestaandVerbouwingVanToepassing,IF(OR(NOT(ISNUMBER(BestaandMarktwaardeNaVerbouwing)),BestaandMarktwaardeNaVerbouwing&lt;=0),"Vul de marktwaarde na verbouwing in.", IF(BestaandMarktwaardeNaVerbouwing&lt;BestaandMarktwaarde,"Let op: De marktwaarde na verbouwing is kleiner dan de marktwaarde voor verbouwing.",IF(ToetsmarktwaardeInclEbv&gt;ToetsmarktwaardeExclEbv+BestaandKostenEBV,"Let op: De waardevermeerdering door EBV is groter dan de kosten voor EBV.",""))),"")</f>
        <v/>
      </c>
      <c r="E18" s="36"/>
      <c r="F18" s="36"/>
      <c r="G18" s="36"/>
      <c r="H18" s="25"/>
    </row>
    <row r="19" spans="1:8" ht="19" x14ac:dyDescent="0.65">
      <c r="A19" s="25" t="s">
        <v>19</v>
      </c>
      <c r="B19" s="45">
        <f>ROUNDDOWN(BestaandMarktwaarde+BestaandKostenKwaliteitsverbetering*BestaandWaardestijgingspct,2)</f>
        <v>0</v>
      </c>
      <c r="C19" s="25"/>
      <c r="D19" s="36"/>
      <c r="E19" s="36"/>
      <c r="F19" s="36"/>
      <c r="G19" s="36"/>
      <c r="H19" s="25"/>
    </row>
    <row r="20" spans="1:8" ht="19.5" thickBot="1" x14ac:dyDescent="0.7">
      <c r="A20" s="42"/>
      <c r="B20" s="28"/>
      <c r="C20" s="28"/>
      <c r="D20" s="28"/>
      <c r="E20" s="28"/>
      <c r="F20" s="28"/>
      <c r="G20" s="28"/>
      <c r="H20" s="28"/>
    </row>
    <row r="21" spans="1:8" ht="19" x14ac:dyDescent="0.65">
      <c r="A21" s="46" t="s">
        <v>20</v>
      </c>
      <c r="B21" s="25"/>
      <c r="C21" s="25"/>
      <c r="D21" s="25"/>
      <c r="E21" s="25"/>
      <c r="F21" s="25"/>
      <c r="G21" s="25"/>
      <c r="H21" s="25"/>
    </row>
    <row r="22" spans="1:8" ht="19" x14ac:dyDescent="0.65">
      <c r="A22" s="47" t="str">
        <f>"De lening mag niet hoger zijn dan "&amp;ToetsmarktwaardeExclEbvOmschrijving&amp;"."</f>
        <v>De lening mag niet hoger zijn dan de marktwaarde.</v>
      </c>
      <c r="B22" s="25"/>
      <c r="C22" s="25"/>
      <c r="D22" s="48">
        <f>IF(BestaandKostenAkkoord, BestaandToetsmarktwaardeExclEbv+BestaandKostenEBV+BestaandEBB, "-")</f>
        <v>0</v>
      </c>
      <c r="E22" s="44"/>
      <c r="F22" s="25"/>
      <c r="G22" s="25"/>
      <c r="H22" s="25"/>
    </row>
    <row r="23" spans="1:8" ht="19" x14ac:dyDescent="0.65">
      <c r="A23" s="25" t="str">
        <f>"De lening mag niet hoger zijn dan "&amp;TEXT(MaxLTVMetEBV,"0%")&amp;" van "&amp;ToetsmarktwaardeInclEbvOmschrijving&amp; "."</f>
        <v>De lening mag niet hoger zijn dan 106% van de marktwaarde.</v>
      </c>
      <c r="B23" s="25"/>
      <c r="C23" s="25"/>
      <c r="D23" s="49">
        <f>IF(BestaandKostenAkkoord, ROUNDDOWN(MaxLTVMetEBV*BestaandToetsmarktwaardeInclEbv,2), "-")</f>
        <v>0</v>
      </c>
      <c r="E23" s="25"/>
      <c r="F23" s="25"/>
      <c r="G23" s="25"/>
      <c r="H23" s="25"/>
    </row>
    <row r="24" spans="1:8" ht="19" x14ac:dyDescent="0.65">
      <c r="A24" s="25" t="s">
        <v>21</v>
      </c>
      <c r="B24" s="25"/>
      <c r="C24" s="25"/>
      <c r="D24" s="48">
        <f>IF(BestaandKostenAkkoord, BestaandTotaleKostenInclEBV, "-")</f>
        <v>0</v>
      </c>
      <c r="E24" s="25"/>
      <c r="F24" s="25"/>
      <c r="G24" s="25"/>
      <c r="H24" s="25"/>
    </row>
    <row r="25" spans="1:8" ht="19" x14ac:dyDescent="0.65">
      <c r="A25" s="25" t="s">
        <v>22</v>
      </c>
      <c r="B25" s="25"/>
      <c r="C25" s="25"/>
      <c r="D25" s="50">
        <f>IF(BestaandKostenAkkoord, MIN(BestaandBovengrensTrhkEBV1,BestaandBovengrensTrhkEBV2,BestaandTotaleKostenInclEBV), "-")</f>
        <v>0</v>
      </c>
      <c r="E25" s="25"/>
      <c r="F25" s="25"/>
      <c r="G25" s="25"/>
      <c r="H25" s="25"/>
    </row>
    <row r="26" spans="1:8" ht="19.5" thickBot="1" x14ac:dyDescent="0.4">
      <c r="A26" s="51"/>
      <c r="B26" s="51"/>
      <c r="C26" s="51"/>
      <c r="D26" s="51"/>
      <c r="E26" s="51"/>
      <c r="F26" s="51"/>
      <c r="G26" s="51"/>
      <c r="H26" s="51"/>
    </row>
    <row r="27" spans="1:8" ht="17.5" x14ac:dyDescent="0.6">
      <c r="A27" s="52" t="s">
        <v>23</v>
      </c>
      <c r="B27" s="52"/>
      <c r="C27" s="52"/>
      <c r="D27" s="52"/>
      <c r="E27" s="52"/>
      <c r="F27" s="52"/>
      <c r="G27" s="52"/>
      <c r="H27" s="52"/>
    </row>
    <row r="28" spans="1:8" ht="18" thickBot="1" x14ac:dyDescent="0.65">
      <c r="A28" s="53" t="s">
        <v>24</v>
      </c>
      <c r="B28" s="53"/>
      <c r="C28" s="53"/>
      <c r="D28" s="53"/>
      <c r="E28" s="53"/>
      <c r="F28" s="53"/>
      <c r="G28" s="53"/>
      <c r="H28" s="53"/>
    </row>
    <row r="30" spans="1:8" hidden="1" x14ac:dyDescent="0.35">
      <c r="A30" s="11" t="s">
        <v>25</v>
      </c>
    </row>
    <row r="32" spans="1:8" hidden="1" x14ac:dyDescent="0.35">
      <c r="A32" t="s">
        <v>2</v>
      </c>
      <c r="B32" s="8">
        <f>IF(ISNUMBER(B3), MAX(0,B3), 0)</f>
        <v>0</v>
      </c>
    </row>
    <row r="33" spans="1:7" hidden="1" x14ac:dyDescent="0.35">
      <c r="A33" t="s">
        <v>26</v>
      </c>
      <c r="B33" s="8">
        <f>IF(ISNUMBER(B18), MAX(0,B18), 0)</f>
        <v>0</v>
      </c>
    </row>
    <row r="35" spans="1:7" hidden="1" x14ac:dyDescent="0.35">
      <c r="D35" t="s">
        <v>27</v>
      </c>
      <c r="G35" t="s">
        <v>28</v>
      </c>
    </row>
    <row r="36" spans="1:7" hidden="1" x14ac:dyDescent="0.35">
      <c r="A36" t="s">
        <v>29</v>
      </c>
      <c r="D36" s="19">
        <f>BestaandSubtotaalKostenExclEBM+BestaandKostenEBV+BestaandEBB</f>
        <v>0</v>
      </c>
      <c r="G36" s="14" t="b">
        <f>BestaandSubtotaalKostenInclEBM&lt;=NHGGrensMetEBV</f>
        <v>1</v>
      </c>
    </row>
    <row r="37" spans="1:7" hidden="1" x14ac:dyDescent="0.35">
      <c r="A37" t="s">
        <v>30</v>
      </c>
      <c r="D37" s="19">
        <f>BestaandNormKoopsom+BestaandKostenKwaliteitsverbetering</f>
        <v>0</v>
      </c>
      <c r="G37" s="14" t="b">
        <f>BestaandSubtotaalKostenExclEBM&lt;=NHGGrens</f>
        <v>1</v>
      </c>
    </row>
    <row r="38" spans="1:7" hidden="1" x14ac:dyDescent="0.35">
      <c r="A38" t="s">
        <v>31</v>
      </c>
      <c r="G38" s="14" t="b">
        <f>AND(BestaandKostenInclEBMAkkoord,BestaandKostenExclEBMAkkoord)</f>
        <v>1</v>
      </c>
    </row>
    <row r="40" spans="1:7" hidden="1" x14ac:dyDescent="0.35">
      <c r="A40" t="s">
        <v>32</v>
      </c>
      <c r="B40" t="b">
        <f>OR(BestaandKostenKwaliteitsverbetering &lt;&gt; 0, BestaandKostenEBV &lt;&gt; 0)</f>
        <v>0</v>
      </c>
    </row>
    <row r="41" spans="1:7" hidden="1" x14ac:dyDescent="0.35">
      <c r="A41" t="s">
        <v>33</v>
      </c>
      <c r="B41" t="b">
        <f>BestaandKostenEBV&gt;0</f>
        <v>0</v>
      </c>
    </row>
    <row r="42" spans="1:7" hidden="1" x14ac:dyDescent="0.35">
      <c r="A42" t="s">
        <v>34</v>
      </c>
      <c r="B42" t="b">
        <f>AND(BestaandKostenKwaliteitsverbetering &lt;&gt; 0, BestaandKostenEBV &lt;&gt; 0)</f>
        <v>0</v>
      </c>
    </row>
    <row r="44" spans="1:7" hidden="1" x14ac:dyDescent="0.35">
      <c r="A44" t="s">
        <v>35</v>
      </c>
      <c r="B44" s="21">
        <f>IF(BestaandVerbouwingVanToepassing, (BestaandMarktwaardeNaVerbouwing-BestaandMarktwaarde)/(BestaandKostenKwaliteitsverbetering+BestaandKostenEBV), 0)</f>
        <v>0</v>
      </c>
    </row>
    <row r="45" spans="1:7" hidden="1" x14ac:dyDescent="0.35">
      <c r="A45" t="s">
        <v>36</v>
      </c>
      <c r="B45" s="20">
        <f xml:space="preserve"> IF(BestaandKostenKwaliteitsverbetering = 0, BestaandMarktwaarde,0)
+ IF(AND(BestaandKostenKwaliteitsverbetering &lt;&gt; 0, BestaandKostenEBV = 0), BestaandMarktwaardeNaVerbouwing,0)
+ IF(AND(BestaandKostenKwaliteitsverbetering &lt;&gt; 0, BestaandKostenEBV &lt;&gt; 0), BestaandMarktwaardeNaVerbouwingExclEBV, 0)</f>
        <v>0</v>
      </c>
    </row>
    <row r="46" spans="1:7" hidden="1" x14ac:dyDescent="0.35">
      <c r="A46" t="s">
        <v>37</v>
      </c>
      <c r="B46" s="20">
        <f>IF(BestaandVerbouwingVanToepassing,BestaandMarktwaardeNaVerbouwing,BestaandMarktwaarde)</f>
        <v>0</v>
      </c>
    </row>
    <row r="49" spans="1:4" hidden="1" x14ac:dyDescent="0.35">
      <c r="A49" t="s">
        <v>38</v>
      </c>
      <c r="B49" s="17">
        <f>IF(BestaandKostenKwaliteitsverbetering=0,0,1)+IF(BestaandKostenEBV=0,0,2)+IF(BestaandEBB=0,0,4)</f>
        <v>0</v>
      </c>
    </row>
    <row r="51" spans="1:4" hidden="1" x14ac:dyDescent="0.35">
      <c r="A51" t="s">
        <v>39</v>
      </c>
      <c r="B51" t="b">
        <f>(BestaandKostenEBV+BestaandEBB)&gt;0</f>
        <v>0</v>
      </c>
      <c r="D51" s="60" t="s">
        <v>40</v>
      </c>
    </row>
  </sheetData>
  <sheetProtection algorithmName="SHA-512" hashValue="L80gRwSpRuEZ5dSN6+0H7E+Xw48i0MbUs9emKA3F84TuTV12Jn7oPyIBaOOnoIytJBOa2XHlUnWGMnapqpYo1w==" saltValue="2DVi2uKwyWkb8keBXSYf6g==" spinCount="100000" sheet="1" objects="1" scenarios="1"/>
  <conditionalFormatting sqref="A17:A18">
    <cfRule type="expression" dxfId="10" priority="8">
      <formula>NOT(BestaandVerbouwingVanToepassing)</formula>
    </cfRule>
  </conditionalFormatting>
  <conditionalFormatting sqref="A19">
    <cfRule type="expression" dxfId="9" priority="6">
      <formula>NOT(BestaandMarktwaardeExclEbvTonen)</formula>
    </cfRule>
  </conditionalFormatting>
  <conditionalFormatting sqref="A23">
    <cfRule type="expression" dxfId="8" priority="21">
      <formula>NOT(UitzonderingsregelEBMVanToepassing)</formula>
    </cfRule>
  </conditionalFormatting>
  <conditionalFormatting sqref="B18">
    <cfRule type="expression" dxfId="7" priority="7">
      <formula>NOT(BestaandVerbouwingVanToepassing)</formula>
    </cfRule>
  </conditionalFormatting>
  <conditionalFormatting sqref="B19">
    <cfRule type="expression" dxfId="6" priority="4">
      <formula>NOT(BestaandMarktwaardeExclEbvTonen)</formula>
    </cfRule>
  </conditionalFormatting>
  <conditionalFormatting sqref="D23">
    <cfRule type="expression" dxfId="5" priority="22">
      <formula>NOT(UitzonderingsregelEBMVanToepassing)</formula>
    </cfRule>
  </conditionalFormatting>
  <conditionalFormatting sqref="G14">
    <cfRule type="expression" dxfId="4" priority="17">
      <formula>NOT(BestaandKostenInclEBMAkkoord)</formula>
    </cfRule>
  </conditionalFormatting>
  <conditionalFormatting sqref="G15">
    <cfRule type="expression" dxfId="3" priority="20">
      <formula>NOT(BestaandKostenExclEBMAkkoord)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A3CF-AFC6-4F53-957D-A8F16F1C5269}">
  <dimension ref="A1:N34"/>
  <sheetViews>
    <sheetView showGridLines="0" showRowColHeaders="0" zoomScaleNormal="100" workbookViewId="0">
      <selection activeCell="B4" sqref="B4"/>
    </sheetView>
  </sheetViews>
  <sheetFormatPr defaultColWidth="0" defaultRowHeight="15" customHeight="1" zeroHeight="1" x14ac:dyDescent="0.35"/>
  <cols>
    <col min="1" max="1" width="91.453125" customWidth="1"/>
    <col min="2" max="2" width="15.7265625" customWidth="1"/>
    <col min="3" max="3" width="4" customWidth="1"/>
    <col min="4" max="4" width="15.7265625" customWidth="1"/>
    <col min="5" max="5" width="3.7265625" customWidth="1"/>
    <col min="6" max="6" width="36.26953125" customWidth="1"/>
    <col min="7" max="7" width="22.7265625" customWidth="1"/>
    <col min="8" max="8" width="30.7265625" customWidth="1"/>
    <col min="9" max="9" width="12.453125" hidden="1" customWidth="1"/>
    <col min="10" max="13" width="0" hidden="1" customWidth="1"/>
    <col min="14" max="14" width="12.453125" hidden="1" customWidth="1"/>
    <col min="15" max="16384" width="9.1796875" hidden="1"/>
  </cols>
  <sheetData>
    <row r="1" spans="1:8" s="15" customFormat="1" ht="96.75" customHeight="1" thickBot="1" x14ac:dyDescent="0.4">
      <c r="A1" s="22" t="s">
        <v>41</v>
      </c>
      <c r="B1" s="22"/>
      <c r="C1" s="22"/>
      <c r="D1" s="22"/>
      <c r="E1" s="22"/>
      <c r="F1" s="22"/>
      <c r="G1" s="22"/>
      <c r="H1" s="22">
        <v>2025</v>
      </c>
    </row>
    <row r="2" spans="1:8" ht="19" x14ac:dyDescent="0.65">
      <c r="A2" s="23" t="s">
        <v>3</v>
      </c>
      <c r="B2" s="24"/>
      <c r="C2" s="24"/>
      <c r="D2" s="23"/>
      <c r="E2" s="24"/>
      <c r="F2" s="24"/>
      <c r="G2" s="24"/>
      <c r="H2" s="24"/>
    </row>
    <row r="3" spans="1:8" ht="19" x14ac:dyDescent="0.65">
      <c r="A3" s="25"/>
      <c r="B3" s="31" t="s">
        <v>4</v>
      </c>
      <c r="C3" s="25"/>
      <c r="D3" s="31" t="s">
        <v>5</v>
      </c>
      <c r="E3" s="25"/>
      <c r="F3" s="25"/>
      <c r="G3" s="25"/>
      <c r="H3" s="25"/>
    </row>
    <row r="4" spans="1:8" ht="19" x14ac:dyDescent="0.65">
      <c r="A4" s="25" t="s">
        <v>42</v>
      </c>
      <c r="B4" s="32">
        <v>0</v>
      </c>
      <c r="C4" s="27" t="str">
        <f>IF(OR(NOT(ISNUMBER(B4)),B4&lt;0),"!", "")</f>
        <v/>
      </c>
      <c r="D4" s="33">
        <f>IF(ISNUMBER(B4),MAX(0,B4),0)</f>
        <v>0</v>
      </c>
      <c r="E4" s="25" t="s">
        <v>7</v>
      </c>
      <c r="F4" s="25"/>
      <c r="G4" s="25"/>
      <c r="H4" s="25"/>
    </row>
    <row r="5" spans="1:8" ht="19" x14ac:dyDescent="0.65">
      <c r="A5" s="25" t="s">
        <v>43</v>
      </c>
      <c r="B5" s="34">
        <v>0</v>
      </c>
      <c r="C5" s="27" t="str">
        <f>IF(OR(NOT(ISNUMBER(B5))),"!", "")</f>
        <v/>
      </c>
      <c r="D5" s="33">
        <f>IF(ISNUMBER(B5),MAX(0,B5),0)</f>
        <v>0</v>
      </c>
      <c r="E5" s="25" t="s">
        <v>44</v>
      </c>
      <c r="F5" s="25"/>
      <c r="G5" s="25"/>
      <c r="H5" s="25"/>
    </row>
    <row r="6" spans="1:8" ht="19" x14ac:dyDescent="0.65">
      <c r="A6" s="25" t="s">
        <v>45</v>
      </c>
      <c r="B6" s="59">
        <v>0</v>
      </c>
      <c r="C6" s="27" t="str">
        <f>IF(OR(NOT(ISNUMBER(B6)),B6&lt;0),"!", "")</f>
        <v/>
      </c>
      <c r="D6" s="33">
        <f>IF(ISNUMBER(NieuwbouwBijkomendeKosten), MAX(0,ROUNDDOWN(MIN(NieuwbouwBijkomendeKosten,NHGGrensMetEBV-NieuwbouwSubtotaalKostenInclEBM,NHGGrens-NieuwbouwSubtotaalKostenExclEBM,MaxPctBijkomendeKosten*NieuwbouwGrondslagMaxBijkomendeKosten),2), 0))</f>
        <v>0</v>
      </c>
      <c r="E6" s="25" t="s">
        <v>11</v>
      </c>
      <c r="F6" s="25"/>
      <c r="G6" s="25"/>
      <c r="H6" s="25"/>
    </row>
    <row r="7" spans="1:8" ht="19" x14ac:dyDescent="0.65">
      <c r="A7" s="25" t="s">
        <v>12</v>
      </c>
      <c r="B7" s="32">
        <v>0</v>
      </c>
      <c r="C7" s="27" t="str">
        <f>IF(OR(NOT(ISNUMBER(B7)),B7&lt;0),"!", "")</f>
        <v/>
      </c>
      <c r="D7" s="33">
        <f>IF(ISNUMBER(B7),MAX(0,B7),0)</f>
        <v>0</v>
      </c>
      <c r="E7" s="25" t="s">
        <v>13</v>
      </c>
      <c r="F7" s="25"/>
      <c r="G7" s="25"/>
      <c r="H7" s="25"/>
    </row>
    <row r="8" spans="1:8" ht="19" x14ac:dyDescent="0.65">
      <c r="A8" s="36" t="s">
        <v>14</v>
      </c>
      <c r="B8" s="32">
        <v>0</v>
      </c>
      <c r="C8" s="27" t="str">
        <f>IF(OR(NOT(ISNUMBER(B8)),B8&lt;0),"!", "")</f>
        <v/>
      </c>
      <c r="D8" s="33">
        <f>IF(ISNUMBER(B8),MAX(0,B8),0)</f>
        <v>0</v>
      </c>
      <c r="E8" s="25" t="s">
        <v>13</v>
      </c>
      <c r="F8" s="25"/>
      <c r="G8" s="25"/>
      <c r="H8" s="25"/>
    </row>
    <row r="9" spans="1:8" ht="19" x14ac:dyDescent="0.65">
      <c r="A9" s="25"/>
      <c r="B9" s="35"/>
      <c r="C9" s="25"/>
      <c r="D9" s="37"/>
      <c r="E9" s="38" t="s">
        <v>15</v>
      </c>
      <c r="F9" s="38"/>
      <c r="G9" s="25"/>
      <c r="H9" s="25"/>
    </row>
    <row r="10" spans="1:8" ht="19" x14ac:dyDescent="0.65">
      <c r="A10" s="25"/>
      <c r="B10" s="35"/>
      <c r="C10" s="25"/>
      <c r="D10" s="25"/>
      <c r="E10" s="39"/>
      <c r="F10" s="39"/>
      <c r="G10" s="25"/>
      <c r="H10" s="25"/>
    </row>
    <row r="11" spans="1:8" ht="19" x14ac:dyDescent="0.65">
      <c r="A11" s="25" t="s">
        <v>46</v>
      </c>
      <c r="B11" s="35"/>
      <c r="C11" s="25"/>
      <c r="D11" s="40">
        <f>NieuwbouwSubtotaalKostenInclEBM+NieuwbouwNormBijkomendeKosten</f>
        <v>0</v>
      </c>
      <c r="E11" s="25"/>
      <c r="F11" s="25" t="str">
        <f>"Dit mag niet hoger zijn dan "&amp;TEXT(NHGGrensMetEBV,"€ 0.000")&amp;"."</f>
        <v>Dit mag niet hoger zijn dan € 182.320.</v>
      </c>
      <c r="G11" s="41" t="str">
        <f>IF(NieuwbouwKostenInclEBMAkkoord, "Akkoord", "NHG is niet mogelijk")</f>
        <v>Akkoord</v>
      </c>
      <c r="H11" s="25"/>
    </row>
    <row r="12" spans="1:8" ht="19" x14ac:dyDescent="0.65">
      <c r="A12" s="25" t="s">
        <v>47</v>
      </c>
      <c r="B12" s="35"/>
      <c r="C12" s="25"/>
      <c r="D12" s="40">
        <f>NieuwbouwSubtotaalKostenExclEBM+NieuwbouwNormBijkomendeKosten</f>
        <v>0</v>
      </c>
      <c r="E12" s="39"/>
      <c r="F12" s="25" t="str">
        <f>"Dit mag niet hoger zijn dan "&amp;TEXT(NHGGrens,"€ 0.000")&amp;"."</f>
        <v>Dit mag niet hoger zijn dan € 172.000.</v>
      </c>
      <c r="G12" s="41" t="str">
        <f>IF(NieuwbouwKostenExclEBMAkkoord, "Akkoord", "NHG is niet mogelijk")</f>
        <v>Akkoord</v>
      </c>
      <c r="H12" s="25"/>
    </row>
    <row r="13" spans="1:8" ht="19.5" thickBot="1" x14ac:dyDescent="0.7">
      <c r="A13" s="42"/>
      <c r="B13" s="28"/>
      <c r="C13" s="28"/>
      <c r="D13" s="28"/>
      <c r="E13" s="28"/>
      <c r="F13" s="28"/>
      <c r="G13" s="28"/>
      <c r="H13" s="28"/>
    </row>
    <row r="14" spans="1:8" ht="19" x14ac:dyDescent="0.65">
      <c r="A14" s="46" t="s">
        <v>20</v>
      </c>
      <c r="B14" s="25"/>
      <c r="C14" s="25"/>
      <c r="D14" s="25"/>
      <c r="E14" s="25"/>
      <c r="F14" s="25"/>
      <c r="G14" s="25"/>
      <c r="H14" s="25"/>
    </row>
    <row r="15" spans="1:8" ht="19" x14ac:dyDescent="0.65">
      <c r="A15" s="25" t="s">
        <v>21</v>
      </c>
      <c r="B15" s="25"/>
      <c r="C15" s="25"/>
      <c r="D15" s="50">
        <f>IF(NieuwbouwKostenAkkoord, NieuwbouwTotaalKostenInclEBM, "-")</f>
        <v>0</v>
      </c>
      <c r="E15" s="25"/>
      <c r="F15" s="25"/>
      <c r="G15" s="25"/>
      <c r="H15" s="25"/>
    </row>
    <row r="16" spans="1:8" ht="19.5" thickBot="1" x14ac:dyDescent="0.4">
      <c r="A16" s="51"/>
      <c r="B16" s="51"/>
      <c r="C16" s="51"/>
      <c r="D16" s="51"/>
      <c r="E16" s="51"/>
      <c r="F16" s="51"/>
      <c r="G16" s="51"/>
      <c r="H16" s="51"/>
    </row>
    <row r="17" spans="1:8" ht="17.5" x14ac:dyDescent="0.6">
      <c r="A17" s="52" t="s">
        <v>23</v>
      </c>
      <c r="B17" s="52"/>
      <c r="C17" s="52"/>
      <c r="D17" s="52"/>
      <c r="E17" s="52"/>
      <c r="F17" s="52"/>
      <c r="G17" s="52"/>
      <c r="H17" s="52"/>
    </row>
    <row r="18" spans="1:8" ht="18" thickBot="1" x14ac:dyDescent="0.65">
      <c r="A18" s="53" t="s">
        <v>24</v>
      </c>
      <c r="B18" s="53"/>
      <c r="C18" s="53"/>
      <c r="D18" s="53"/>
      <c r="E18" s="53"/>
      <c r="F18" s="53"/>
      <c r="G18" s="53"/>
      <c r="H18" s="53"/>
    </row>
    <row r="20" spans="1:8" ht="15" hidden="1" customHeight="1" x14ac:dyDescent="0.35">
      <c r="A20" t="s">
        <v>48</v>
      </c>
      <c r="B20" s="14">
        <f>NieuwbouwKoopAanneemsom+NieuwbouwMeerwerk+NieuwbouwKostenEBV+NieuwbouwEBB</f>
        <v>0</v>
      </c>
    </row>
    <row r="21" spans="1:8" ht="15" hidden="1" customHeight="1" x14ac:dyDescent="0.35">
      <c r="A21" t="s">
        <v>49</v>
      </c>
      <c r="D21" s="14">
        <f>NieuwbouwSubtotaalKostenExclEBM+NieuwbouwKostenEBV+NieuwbouwEBB</f>
        <v>0</v>
      </c>
      <c r="G21" s="14" t="b">
        <f>NieuwbouwSubtotaalKostenInclEBM&lt;=NHGGrensMetEBV</f>
        <v>1</v>
      </c>
    </row>
    <row r="22" spans="1:8" ht="15" hidden="1" customHeight="1" x14ac:dyDescent="0.35">
      <c r="A22" t="s">
        <v>50</v>
      </c>
      <c r="D22" s="14">
        <f>NieuwbouwKoopAanneemsom+NieuwbouwMeerwerk</f>
        <v>0</v>
      </c>
      <c r="G22" s="14" t="b">
        <f>NieuwbouwSubtotaalKostenExclEBM&lt;=NHGGrens</f>
        <v>1</v>
      </c>
    </row>
    <row r="23" spans="1:8" ht="15" hidden="1" customHeight="1" x14ac:dyDescent="0.35">
      <c r="A23" t="s">
        <v>31</v>
      </c>
      <c r="G23" s="14" t="b">
        <f>AND(NieuwbouwKostenInclEBMAkkoord,NieuwbouwKostenExclEBMAkkoord)</f>
        <v>1</v>
      </c>
    </row>
    <row r="28" spans="1:8" ht="15" hidden="1" customHeight="1" x14ac:dyDescent="0.35">
      <c r="F28" t="b">
        <v>1</v>
      </c>
    </row>
    <row r="33" customFormat="1" ht="15" hidden="1" customHeight="1" x14ac:dyDescent="0.35"/>
    <row r="34" customFormat="1" ht="15" hidden="1" customHeight="1" x14ac:dyDescent="0.35"/>
  </sheetData>
  <sheetProtection algorithmName="SHA-512" hashValue="5s8v3G79JSyTpVD88/8KSg87isgEaAKnhvExILWtR+HbmuLMnGlhNjpxu+ev4Mj5108orogUauTPifKruUR5bQ==" saltValue="sdz9EkBr/1HnhFEsRrHdwA==" spinCount="100000" sheet="1" objects="1" scenarios="1"/>
  <conditionalFormatting sqref="G11">
    <cfRule type="expression" dxfId="2" priority="2">
      <formula>NOT(NieuwbouwKostenInclEBMAkkoord)</formula>
    </cfRule>
  </conditionalFormatting>
  <conditionalFormatting sqref="G12">
    <cfRule type="expression" dxfId="1" priority="3">
      <formula>NOT(NieuwbouwKostenExclEBMAkkoord)</formula>
    </cfRule>
  </conditionalFormatting>
  <pageMargins left="0.7" right="0.7" top="0.75" bottom="0.75" header="0.3" footer="0.3"/>
  <pageSetup paperSize="9" orientation="portrait" r:id="rId1"/>
  <ignoredErrors>
    <ignoredError sqref="C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01AF-ABF6-4333-987B-9E6FD0DA1891}">
  <dimension ref="A1:N44"/>
  <sheetViews>
    <sheetView showGridLines="0" showRowColHeaders="0" zoomScaleNormal="100" workbookViewId="0">
      <selection activeCell="B3" sqref="B3"/>
    </sheetView>
  </sheetViews>
  <sheetFormatPr defaultColWidth="0" defaultRowHeight="0" customHeight="1" zeroHeight="1" x14ac:dyDescent="0.65"/>
  <cols>
    <col min="1" max="1" width="91.453125" style="55" customWidth="1"/>
    <col min="2" max="2" width="15.7265625" style="55" customWidth="1"/>
    <col min="3" max="3" width="4" style="55" customWidth="1"/>
    <col min="4" max="4" width="15.7265625" style="55" customWidth="1"/>
    <col min="5" max="5" width="3.7265625" style="55" customWidth="1"/>
    <col min="6" max="6" width="36.26953125" style="55" customWidth="1"/>
    <col min="7" max="7" width="22.7265625" style="55" customWidth="1"/>
    <col min="8" max="8" width="30.7265625" style="55" customWidth="1"/>
    <col min="9" max="9" width="12.453125" style="55" hidden="1" customWidth="1"/>
    <col min="10" max="13" width="0" style="55" hidden="1" customWidth="1"/>
    <col min="14" max="14" width="12.453125" style="55" hidden="1" customWidth="1"/>
    <col min="15" max="16384" width="9.1796875" style="55" hidden="1"/>
  </cols>
  <sheetData>
    <row r="1" spans="1:8" s="54" customFormat="1" ht="96.75" customHeight="1" thickBot="1" x14ac:dyDescent="0.4">
      <c r="A1" s="22" t="s">
        <v>51</v>
      </c>
      <c r="B1" s="22"/>
      <c r="C1" s="22"/>
      <c r="D1" s="22"/>
      <c r="E1" s="22"/>
      <c r="F1" s="22"/>
      <c r="G1" s="22"/>
      <c r="H1" s="22">
        <v>2025</v>
      </c>
    </row>
    <row r="2" spans="1:8" ht="19" x14ac:dyDescent="0.65">
      <c r="A2" s="23" t="s">
        <v>1</v>
      </c>
      <c r="B2" s="24"/>
      <c r="C2" s="24"/>
      <c r="D2" s="24"/>
      <c r="E2" s="24"/>
      <c r="F2" s="24"/>
      <c r="G2" s="24"/>
      <c r="H2" s="24"/>
    </row>
    <row r="3" spans="1:8" ht="19" x14ac:dyDescent="0.65">
      <c r="A3" s="25" t="s">
        <v>2</v>
      </c>
      <c r="B3" s="32">
        <v>0</v>
      </c>
      <c r="C3" s="27" t="str">
        <f>IF(OR(NOT(ISNUMBER(B3)),B3&lt;0),"!", "")</f>
        <v/>
      </c>
      <c r="D3" s="25"/>
      <c r="E3" s="25"/>
      <c r="F3" s="25"/>
      <c r="G3" s="25"/>
      <c r="H3" s="25"/>
    </row>
    <row r="4" spans="1:8" ht="19.5" thickBot="1" x14ac:dyDescent="0.7">
      <c r="A4" s="28"/>
      <c r="B4" s="29"/>
      <c r="C4" s="30"/>
      <c r="D4" s="28"/>
      <c r="E4" s="28"/>
      <c r="F4" s="28"/>
      <c r="G4" s="28"/>
      <c r="H4" s="28"/>
    </row>
    <row r="5" spans="1:8" ht="19" x14ac:dyDescent="0.65">
      <c r="A5" s="23" t="s">
        <v>3</v>
      </c>
      <c r="B5" s="24"/>
      <c r="C5" s="24"/>
      <c r="D5" s="23"/>
      <c r="E5" s="24"/>
      <c r="F5" s="24"/>
      <c r="G5" s="24"/>
      <c r="H5" s="24"/>
    </row>
    <row r="6" spans="1:8" ht="19" x14ac:dyDescent="0.65">
      <c r="A6" s="25"/>
      <c r="B6" s="31" t="s">
        <v>4</v>
      </c>
      <c r="C6" s="25"/>
      <c r="D6" s="31" t="s">
        <v>5</v>
      </c>
      <c r="E6" s="25"/>
      <c r="F6" s="25"/>
      <c r="G6" s="25"/>
      <c r="H6" s="25"/>
    </row>
    <row r="7" spans="1:8" ht="19" x14ac:dyDescent="0.65">
      <c r="A7" s="25" t="s">
        <v>6</v>
      </c>
      <c r="B7" s="32">
        <v>0</v>
      </c>
      <c r="C7" s="27" t="str">
        <f>IF(OR(NOT(ISNUMBER(B7)),B7&lt;0),"!", "")</f>
        <v/>
      </c>
      <c r="D7" s="33">
        <f>IF(ISNUMBER(StandplaatsKoopsom),MAX(0,MIN(StandplaatsKoopsom,StandplaatsMarktwaarde)),0)</f>
        <v>0</v>
      </c>
      <c r="E7" s="25" t="s">
        <v>7</v>
      </c>
      <c r="F7" s="25"/>
      <c r="G7" s="25"/>
      <c r="H7" s="25"/>
    </row>
    <row r="8" spans="1:8" ht="19" x14ac:dyDescent="0.65">
      <c r="A8" s="25" t="s">
        <v>10</v>
      </c>
      <c r="B8" s="56"/>
      <c r="C8" s="25"/>
      <c r="D8" s="33">
        <f>ROUNDDOWN(MAX(0,MIN(MaxPctBijkomendeKosten*Standplaats!StandplaatsNormKoopsom,NHGGrensStandplaats-StandplaatsNormKoopsom)),2)</f>
        <v>0</v>
      </c>
      <c r="E8" s="25" t="s">
        <v>44</v>
      </c>
      <c r="F8" s="25"/>
      <c r="G8" s="25"/>
      <c r="H8" s="25"/>
    </row>
    <row r="9" spans="1:8" ht="19" x14ac:dyDescent="0.65">
      <c r="A9" s="25"/>
      <c r="B9" s="35"/>
      <c r="C9" s="25"/>
      <c r="D9" s="37"/>
      <c r="E9" s="38" t="s">
        <v>15</v>
      </c>
      <c r="F9" s="38"/>
      <c r="G9" s="25"/>
      <c r="H9" s="25"/>
    </row>
    <row r="10" spans="1:8" ht="19" x14ac:dyDescent="0.65">
      <c r="A10" s="25"/>
      <c r="B10" s="35"/>
      <c r="C10" s="25"/>
      <c r="D10" s="25"/>
      <c r="E10" s="39"/>
      <c r="F10" s="39"/>
      <c r="G10" s="25"/>
      <c r="H10" s="25"/>
    </row>
    <row r="11" spans="1:8" ht="19" x14ac:dyDescent="0.65">
      <c r="A11" s="25" t="s">
        <v>52</v>
      </c>
      <c r="B11" s="35"/>
      <c r="C11" s="25"/>
      <c r="D11" s="40">
        <f>StandplaatsNormKoopsom+StandplaatsBijkomendeKosten</f>
        <v>0</v>
      </c>
      <c r="E11" s="25"/>
      <c r="F11" s="25" t="str">
        <f>"Dit mag niet hoger zijn dan "&amp;TEXT(NHGGrensStandplaats,"€ 0.000")&amp;"."</f>
        <v>Dit mag niet hoger zijn dan € 61.000.</v>
      </c>
      <c r="G11" s="41" t="str">
        <f>IF(StandplaatsTotaleKosten&lt;=NHGGrensStandplaats, "Akkoord", "NHG is niet mogelijk")</f>
        <v>Akkoord</v>
      </c>
      <c r="H11" s="25"/>
    </row>
    <row r="12" spans="1:8" ht="19.5" thickBot="1" x14ac:dyDescent="0.7">
      <c r="A12" s="28"/>
      <c r="B12" s="29"/>
      <c r="C12" s="28"/>
      <c r="D12" s="57"/>
      <c r="E12" s="28"/>
      <c r="F12" s="28"/>
      <c r="G12" s="58"/>
      <c r="H12" s="28"/>
    </row>
    <row r="13" spans="1:8" ht="19" x14ac:dyDescent="0.65">
      <c r="A13" s="46" t="s">
        <v>20</v>
      </c>
      <c r="B13" s="25"/>
      <c r="C13" s="25"/>
      <c r="D13" s="25"/>
      <c r="E13" s="25"/>
      <c r="F13" s="25"/>
      <c r="G13" s="25"/>
      <c r="H13" s="25"/>
    </row>
    <row r="14" spans="1:8" ht="19" x14ac:dyDescent="0.65">
      <c r="A14" s="25" t="s">
        <v>53</v>
      </c>
      <c r="B14" s="25"/>
      <c r="C14" s="25"/>
      <c r="D14" s="48">
        <f>IF(StandplaatsKostenAkkoord, StandplaatsMarktwaarde, "-")</f>
        <v>0</v>
      </c>
      <c r="E14" s="25"/>
      <c r="F14" s="25"/>
      <c r="G14" s="25"/>
      <c r="H14" s="25"/>
    </row>
    <row r="15" spans="1:8" ht="19" x14ac:dyDescent="0.65">
      <c r="A15" s="25" t="s">
        <v>54</v>
      </c>
      <c r="B15" s="25"/>
      <c r="C15" s="25"/>
      <c r="D15" s="48">
        <f>IF(StandplaatsKostenAkkoord, StandplaatsTotaleKosten, "-")</f>
        <v>0</v>
      </c>
      <c r="E15" s="25"/>
      <c r="F15" s="25"/>
      <c r="G15" s="25"/>
      <c r="H15" s="25"/>
    </row>
    <row r="16" spans="1:8" ht="19" x14ac:dyDescent="0.65">
      <c r="A16" s="25" t="s">
        <v>22</v>
      </c>
      <c r="B16" s="25"/>
      <c r="C16" s="25"/>
      <c r="D16" s="50">
        <f>IF(StandplaatsKostenAkkoord, MIN(StandplaatsMarktwaarde,StandplaatsTotaleKosten), "-")</f>
        <v>0</v>
      </c>
      <c r="E16" s="25"/>
      <c r="F16" s="25"/>
      <c r="G16" s="25"/>
      <c r="H16" s="25"/>
    </row>
    <row r="17" spans="1:8" ht="19.5" thickBot="1" x14ac:dyDescent="0.7">
      <c r="A17" s="51"/>
      <c r="B17" s="51"/>
      <c r="C17" s="51"/>
      <c r="D17" s="51"/>
      <c r="E17" s="51"/>
      <c r="F17" s="51"/>
      <c r="G17" s="51"/>
      <c r="H17" s="51"/>
    </row>
    <row r="18" spans="1:8" ht="19" x14ac:dyDescent="0.65">
      <c r="A18" s="52" t="s">
        <v>23</v>
      </c>
      <c r="B18" s="52"/>
      <c r="C18" s="52"/>
      <c r="D18" s="52"/>
      <c r="E18" s="52"/>
      <c r="F18" s="52"/>
      <c r="G18" s="52"/>
      <c r="H18" s="52"/>
    </row>
    <row r="19" spans="1:8" ht="19.5" thickBot="1" x14ac:dyDescent="0.7">
      <c r="A19" s="53" t="s">
        <v>24</v>
      </c>
      <c r="B19" s="53"/>
      <c r="C19" s="53"/>
      <c r="D19" s="53"/>
      <c r="E19" s="53"/>
      <c r="F19" s="53"/>
      <c r="G19" s="53"/>
      <c r="H19" s="53"/>
    </row>
    <row r="22" spans="1:8" ht="15" hidden="1" customHeight="1" x14ac:dyDescent="0.65">
      <c r="A22" s="55" t="s">
        <v>31</v>
      </c>
      <c r="B22" s="55" t="b">
        <f>StandplaatsNormKoopsom&lt;=NHGGrensStandplaats</f>
        <v>1</v>
      </c>
    </row>
    <row r="33" s="55" customFormat="1" ht="15" hidden="1" customHeight="1" x14ac:dyDescent="0.65"/>
    <row r="34" s="55" customFormat="1" ht="15" hidden="1" customHeight="1" x14ac:dyDescent="0.65"/>
    <row r="35" s="55" customFormat="1" ht="15" hidden="1" customHeight="1" x14ac:dyDescent="0.65"/>
    <row r="36" s="55" customFormat="1" ht="15" hidden="1" customHeight="1" x14ac:dyDescent="0.65"/>
    <row r="37" s="55" customFormat="1" ht="15" hidden="1" customHeight="1" x14ac:dyDescent="0.65"/>
    <row r="38" s="55" customFormat="1" ht="15" hidden="1" customHeight="1" x14ac:dyDescent="0.65"/>
    <row r="39" s="55" customFormat="1" ht="0" hidden="1" customHeight="1" x14ac:dyDescent="0.65"/>
    <row r="40" s="55" customFormat="1" ht="0" hidden="1" customHeight="1" x14ac:dyDescent="0.65"/>
    <row r="41" s="55" customFormat="1" ht="0" hidden="1" customHeight="1" x14ac:dyDescent="0.65"/>
    <row r="42" s="55" customFormat="1" ht="0" hidden="1" customHeight="1" x14ac:dyDescent="0.65"/>
    <row r="43" s="55" customFormat="1" ht="0" hidden="1" customHeight="1" x14ac:dyDescent="0.65"/>
    <row r="44" s="55" customFormat="1" ht="0" hidden="1" customHeight="1" x14ac:dyDescent="0.65"/>
  </sheetData>
  <sheetProtection algorithmName="SHA-512" hashValue="HGDVDJ9xBeGS/9l5umrSuadPbuJ9z7a3ehqjQGxt1ENKEWMpiQ5qMEw9Zh142Xxj6nPKHWWmsODLfec5R6mHMQ==" saltValue="lfEJ3PW3cLh0raXvuHv9ng==" spinCount="100000" sheet="1" objects="1" scenarios="1"/>
  <conditionalFormatting sqref="G11">
    <cfRule type="expression" dxfId="0" priority="8">
      <formula>NOT(StandplaatsKostenAkkoord)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29" sqref="B29"/>
    </sheetView>
  </sheetViews>
  <sheetFormatPr defaultRowHeight="14.5" x14ac:dyDescent="0.35"/>
  <cols>
    <col min="1" max="1" width="35.81640625" customWidth="1"/>
    <col min="3" max="3" width="82.7265625" customWidth="1"/>
    <col min="4" max="4" width="40.7265625" customWidth="1"/>
  </cols>
  <sheetData>
    <row r="1" spans="1:4" ht="31" x14ac:dyDescent="0.7">
      <c r="A1" s="16" t="s">
        <v>55</v>
      </c>
    </row>
    <row r="4" spans="1:4" x14ac:dyDescent="0.35">
      <c r="A4" t="s">
        <v>56</v>
      </c>
      <c r="B4" t="s">
        <v>57</v>
      </c>
      <c r="C4" t="s">
        <v>58</v>
      </c>
      <c r="D4" t="s">
        <v>59</v>
      </c>
    </row>
    <row r="5" spans="1:4" x14ac:dyDescent="0.35">
      <c r="A5" s="14" t="s">
        <v>60</v>
      </c>
      <c r="B5" s="14">
        <v>0</v>
      </c>
      <c r="C5" s="14" t="s">
        <v>61</v>
      </c>
      <c r="D5" s="14" t="s">
        <v>61</v>
      </c>
    </row>
    <row r="6" spans="1:4" x14ac:dyDescent="0.35">
      <c r="A6" s="14" t="s">
        <v>62</v>
      </c>
      <c r="B6" s="14">
        <v>1</v>
      </c>
      <c r="C6" s="14" t="s">
        <v>63</v>
      </c>
      <c r="D6" s="14" t="s">
        <v>63</v>
      </c>
    </row>
    <row r="7" spans="1:4" x14ac:dyDescent="0.35">
      <c r="A7" s="14" t="s">
        <v>64</v>
      </c>
      <c r="B7" s="14">
        <v>2</v>
      </c>
      <c r="C7" s="14" t="s">
        <v>65</v>
      </c>
      <c r="D7" s="14" t="s">
        <v>63</v>
      </c>
    </row>
    <row r="8" spans="1:4" x14ac:dyDescent="0.35">
      <c r="A8" s="14" t="s">
        <v>66</v>
      </c>
      <c r="B8" s="14">
        <v>3</v>
      </c>
      <c r="C8" s="14" t="s">
        <v>67</v>
      </c>
      <c r="D8" s="14" t="s">
        <v>68</v>
      </c>
    </row>
    <row r="9" spans="1:4" x14ac:dyDescent="0.35">
      <c r="A9" s="14" t="s">
        <v>69</v>
      </c>
      <c r="B9" s="14">
        <v>4</v>
      </c>
      <c r="C9" s="14" t="s">
        <v>70</v>
      </c>
      <c r="D9" s="14" t="s">
        <v>61</v>
      </c>
    </row>
    <row r="10" spans="1:4" x14ac:dyDescent="0.35">
      <c r="A10" s="14" t="s">
        <v>71</v>
      </c>
      <c r="B10" s="14">
        <v>5</v>
      </c>
      <c r="C10" s="14" t="s">
        <v>72</v>
      </c>
      <c r="D10" s="14" t="s">
        <v>63</v>
      </c>
    </row>
    <row r="11" spans="1:4" x14ac:dyDescent="0.35">
      <c r="A11" s="14" t="s">
        <v>73</v>
      </c>
      <c r="B11" s="14">
        <v>6</v>
      </c>
      <c r="C11" s="14" t="s">
        <v>74</v>
      </c>
      <c r="D11" s="14" t="s">
        <v>63</v>
      </c>
    </row>
    <row r="12" spans="1:4" x14ac:dyDescent="0.35">
      <c r="A12" s="14" t="s">
        <v>75</v>
      </c>
      <c r="B12" s="14">
        <v>7</v>
      </c>
      <c r="C12" s="14" t="s">
        <v>76</v>
      </c>
      <c r="D12" s="14" t="s">
        <v>68</v>
      </c>
    </row>
    <row r="14" spans="1:4" x14ac:dyDescent="0.35">
      <c r="A14" s="11" t="s">
        <v>77</v>
      </c>
    </row>
    <row r="15" spans="1:4" x14ac:dyDescent="0.35">
      <c r="A15" s="9" t="str">
        <f>INDEX(TbOmschrijvingenToetsmarktwaarden[Situatie],SituatieKwaliteitsverbetering +1)</f>
        <v>Geen kwaliteitsverbetering/EBV/EBB</v>
      </c>
      <c r="B15" s="10"/>
      <c r="C15" s="10" t="str">
        <f>INDEX(TbOmschrijvingenToetsmarktwaarden[Omschrijving Toetsmarktwaarde excl EBV + kosten EBV + EBB],SituatieKwaliteitsverbetering+ 1)</f>
        <v>de marktwaarde</v>
      </c>
      <c r="D15" s="10" t="str">
        <f>INDEX(TbOmschrijvingenToetsmarktwaarden[Omschrijving Toetsmarktwaarde incl EBV],SituatieKwaliteitsverbetering+ 1)</f>
        <v>de marktwaarde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B5" sqref="B5"/>
    </sheetView>
  </sheetViews>
  <sheetFormatPr defaultColWidth="9.1796875" defaultRowHeight="14.5" x14ac:dyDescent="0.35"/>
  <cols>
    <col min="1" max="1" width="35.54296875" style="4" customWidth="1"/>
    <col min="2" max="2" width="15.81640625" style="4" customWidth="1"/>
    <col min="3" max="16384" width="9.1796875" style="4"/>
  </cols>
  <sheetData>
    <row r="1" spans="1:3" x14ac:dyDescent="0.35">
      <c r="A1" s="3" t="s">
        <v>78</v>
      </c>
    </row>
    <row r="3" spans="1:3" x14ac:dyDescent="0.35">
      <c r="A3" s="4" t="s">
        <v>79</v>
      </c>
      <c r="B3" s="1">
        <v>172000</v>
      </c>
    </row>
    <row r="4" spans="1:3" x14ac:dyDescent="0.35">
      <c r="A4" s="4" t="s">
        <v>80</v>
      </c>
      <c r="B4" s="5">
        <f>MaxLTVMetEBV*NHGGrens</f>
        <v>182320</v>
      </c>
    </row>
    <row r="5" spans="1:3" x14ac:dyDescent="0.35">
      <c r="A5" s="4" t="s">
        <v>81</v>
      </c>
      <c r="B5" s="18">
        <v>61000</v>
      </c>
    </row>
    <row r="7" spans="1:3" x14ac:dyDescent="0.35">
      <c r="A7" s="4" t="s">
        <v>82</v>
      </c>
      <c r="B7" s="2">
        <v>1.06</v>
      </c>
      <c r="C7" s="6"/>
    </row>
    <row r="8" spans="1:3" x14ac:dyDescent="0.35">
      <c r="B8" s="7"/>
      <c r="C8" s="6"/>
    </row>
    <row r="9" spans="1:3" x14ac:dyDescent="0.35">
      <c r="A9" s="4" t="s">
        <v>83</v>
      </c>
      <c r="B9" s="2">
        <v>0.06</v>
      </c>
      <c r="C9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45F8-BDD4-471B-BC00-80C7B0F77655}">
  <dimension ref="A2:C12"/>
  <sheetViews>
    <sheetView workbookViewId="0">
      <selection activeCell="B5" sqref="B5"/>
    </sheetView>
  </sheetViews>
  <sheetFormatPr defaultRowHeight="14.5" x14ac:dyDescent="0.35"/>
  <cols>
    <col min="1" max="1" width="21.7265625" customWidth="1"/>
    <col min="2" max="2" width="13.7265625" customWidth="1"/>
    <col min="3" max="3" width="72" customWidth="1"/>
  </cols>
  <sheetData>
    <row r="2" spans="1:3" x14ac:dyDescent="0.35">
      <c r="A2" s="12" t="s">
        <v>84</v>
      </c>
      <c r="B2" s="12" t="s">
        <v>85</v>
      </c>
      <c r="C2" s="12" t="s">
        <v>86</v>
      </c>
    </row>
    <row r="3" spans="1:3" x14ac:dyDescent="0.35">
      <c r="A3" s="12"/>
      <c r="B3" s="13"/>
      <c r="C3" s="12"/>
    </row>
    <row r="9" spans="1:3" x14ac:dyDescent="0.35">
      <c r="A9" s="11" t="s">
        <v>87</v>
      </c>
    </row>
    <row r="10" spans="1:3" x14ac:dyDescent="0.35">
      <c r="A10" t="s">
        <v>88</v>
      </c>
    </row>
    <row r="11" spans="1:3" x14ac:dyDescent="0.35">
      <c r="A11" t="s">
        <v>89</v>
      </c>
    </row>
    <row r="12" spans="1:3" x14ac:dyDescent="0.35">
      <c r="A12" t="s">
        <v>90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9C375D0424743A43F4E7A99A114A5" ma:contentTypeVersion="15" ma:contentTypeDescription="Een nieuw document maken." ma:contentTypeScope="" ma:versionID="c83882667db428daa203361e1940d708">
  <xsd:schema xmlns:xsd="http://www.w3.org/2001/XMLSchema" xmlns:xs="http://www.w3.org/2001/XMLSchema" xmlns:p="http://schemas.microsoft.com/office/2006/metadata/properties" xmlns:ns2="be7caf04-54ab-4be9-b42f-4d650fdfd7b7" xmlns:ns3="77cc2887-57c0-4a44-b41c-8efee5ba2152" targetNamespace="http://schemas.microsoft.com/office/2006/metadata/properties" ma:root="true" ma:fieldsID="9026eb30d20d45618094093a61188a9f" ns2:_="" ns3:_="">
    <xsd:import namespace="be7caf04-54ab-4be9-b42f-4d650fdfd7b7"/>
    <xsd:import namespace="77cc2887-57c0-4a44-b41c-8efee5ba2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af04-54ab-4be9-b42f-4d650fdfd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c2887-57c0-4a44-b41c-8efee5ba21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69E6A9-175C-435F-9719-BBF4AF90E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7caf04-54ab-4be9-b42f-4d650fdfd7b7"/>
    <ds:schemaRef ds:uri="77cc2887-57c0-4a44-b41c-8efee5ba2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D8029D-FF45-495E-8B58-F097E093E45A}">
  <ds:schemaRefs>
    <ds:schemaRef ds:uri="http://purl.org/dc/elements/1.1/"/>
    <ds:schemaRef ds:uri="http://schemas.microsoft.com/office/2006/metadata/properties"/>
    <ds:schemaRef ds:uri="be7caf04-54ab-4be9-b42f-4d650fdfd7b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7cc2887-57c0-4a44-b41c-8efee5ba215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A5EA05-5204-4EB7-9A0F-D7AD6AF600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55</vt:i4>
      </vt:variant>
    </vt:vector>
  </HeadingPairs>
  <TitlesOfParts>
    <vt:vector size="61" baseType="lpstr">
      <vt:lpstr>Bestaand</vt:lpstr>
      <vt:lpstr>Nieuwbouw</vt:lpstr>
      <vt:lpstr>Standplaats</vt:lpstr>
      <vt:lpstr>Omschrijvingen bij Bestaand</vt:lpstr>
      <vt:lpstr>Parameters</vt:lpstr>
      <vt:lpstr>VERSIES EN AANDACHTSPUNTEN</vt:lpstr>
      <vt:lpstr>Bestaand!BestaandBijkomendeKosten</vt:lpstr>
      <vt:lpstr>Bestaand!BestaandBovengrensTrhkEBV1</vt:lpstr>
      <vt:lpstr>Bestaand!BestaandBovengrensTrhkEBV2</vt:lpstr>
      <vt:lpstr>Bestaand!BestaandEBB</vt:lpstr>
      <vt:lpstr>Bestaand!BestaandEBVVanToepassing</vt:lpstr>
      <vt:lpstr>Bestaand!BestaandKoopsom</vt:lpstr>
      <vt:lpstr>Bestaand!BestaandKostenAkkoord</vt:lpstr>
      <vt:lpstr>Bestaand!BestaandKostenEBV</vt:lpstr>
      <vt:lpstr>Bestaand!BestaandKostenExclEBMAkkoord</vt:lpstr>
      <vt:lpstr>Bestaand!BestaandKostenInclEBMAkkoord</vt:lpstr>
      <vt:lpstr>Bestaand!BestaandKostenKwaliteitsverbetering</vt:lpstr>
      <vt:lpstr>Bestaand!BestaandMarktwaarde</vt:lpstr>
      <vt:lpstr>Bestaand!BestaandMarktwaardeExclEbvTonen</vt:lpstr>
      <vt:lpstr>Bestaand!BestaandMarktwaardeNaVerbouwing</vt:lpstr>
      <vt:lpstr>Bestaand!BestaandMarktwaardeNaVerbouwingExclEBV</vt:lpstr>
      <vt:lpstr>Bestaand!BestaandNormKoopsom</vt:lpstr>
      <vt:lpstr>Bestaand!BestaandSubtotaalKostenExclEBM</vt:lpstr>
      <vt:lpstr>Bestaand!BestaandSubtotaalKostenInclEBM</vt:lpstr>
      <vt:lpstr>BestaandToetsmarktwaardeExclEbv</vt:lpstr>
      <vt:lpstr>BestaandToetsmarktwaardeInclEbv</vt:lpstr>
      <vt:lpstr>Bestaand!BestaandTotaleKostenExclEBV</vt:lpstr>
      <vt:lpstr>Bestaand!BestaandTotaleKostenInclEBV</vt:lpstr>
      <vt:lpstr>Bestaand!BestaandVerbouwingVanToepassing</vt:lpstr>
      <vt:lpstr>Bestaand!BestaandWaardestijgingspct</vt:lpstr>
      <vt:lpstr>MaxLTVMetEBV</vt:lpstr>
      <vt:lpstr>MaxPctBijkomendeKosten</vt:lpstr>
      <vt:lpstr>NHGGrens</vt:lpstr>
      <vt:lpstr>NHGGrensMetEBV</vt:lpstr>
      <vt:lpstr>NHGGrensStandplaats</vt:lpstr>
      <vt:lpstr>Nieuwbouw!NieuwbouwBijkomendeKosten</vt:lpstr>
      <vt:lpstr>Nieuwbouw!NieuwbouwEBB</vt:lpstr>
      <vt:lpstr>Nieuwbouw!NieuwbouwGrondslagMaxBijkomendeKosten</vt:lpstr>
      <vt:lpstr>Nieuwbouw!NieuwbouwKoopAanneemsom</vt:lpstr>
      <vt:lpstr>Nieuwbouw!NieuwbouwKostenAkkoord</vt:lpstr>
      <vt:lpstr>Nieuwbouw!NieuwbouwKostenEBV</vt:lpstr>
      <vt:lpstr>Nieuwbouw!NieuwbouwKostenExclEBMAkkoord</vt:lpstr>
      <vt:lpstr>Nieuwbouw!NieuwbouwKostenInclEBMAkkoord</vt:lpstr>
      <vt:lpstr>Nieuwbouw!NieuwbouwMeerwerk</vt:lpstr>
      <vt:lpstr>Nieuwbouw!NieuwbouwNormBijkomendeKosten</vt:lpstr>
      <vt:lpstr>Nieuwbouw!NieuwbouwSubtotaalKostenExclEBM</vt:lpstr>
      <vt:lpstr>Nieuwbouw!NieuwbouwSubtotaalKostenInclEBM</vt:lpstr>
      <vt:lpstr>Nieuwbouw!NieuwbouwTotaalKostenExclEBM</vt:lpstr>
      <vt:lpstr>Nieuwbouw!NieuwbouwTotaalKostenInclEBM</vt:lpstr>
      <vt:lpstr>SituatieKwaliteitsverbetering</vt:lpstr>
      <vt:lpstr>Standplaats!StandplaatsBijkomendeKosten</vt:lpstr>
      <vt:lpstr>Standplaats!StandplaatsKoopsom</vt:lpstr>
      <vt:lpstr>Standplaats!StandplaatsKostenAkkoord</vt:lpstr>
      <vt:lpstr>Standplaats!StandplaatsMarktwaarde</vt:lpstr>
      <vt:lpstr>Standplaats!StandplaatsNormKoopsom</vt:lpstr>
      <vt:lpstr>Standplaats!StandplaatsTotaleKosten</vt:lpstr>
      <vt:lpstr>ToetsmarktwaardeExclEbv</vt:lpstr>
      <vt:lpstr>ToetsmarktwaardeExclEbvOmschrijving</vt:lpstr>
      <vt:lpstr>ToetsmarktwaardeInclEbv</vt:lpstr>
      <vt:lpstr>ToetsmarktwaardeInclEbvOmschrijving</vt:lpstr>
      <vt:lpstr>Bestaand!UitzonderingsregelEBMVanToepassing</vt:lpstr>
    </vt:vector>
  </TitlesOfParts>
  <Manager/>
  <Company>Everest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Madelon Rooderkerk</cp:lastModifiedBy>
  <cp:revision/>
  <dcterms:created xsi:type="dcterms:W3CDTF">2016-10-03T15:23:22Z</dcterms:created>
  <dcterms:modified xsi:type="dcterms:W3CDTF">2025-05-07T20:57:58Z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0x010100D999C375D0424743A43F4E7A99A114A5</vt:lpwstr>
  </property>
</Properties>
</file>