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lnhg.sharepoint.com/sites/VoorwaardenenNormen/Gedeelde documenten/V&amp;N 2025/Sheet berekening gewogen gemiddelde toetsrente/Versie 2025/Gewogen gemiddelde toetsrente - versie 8-1-2025/"/>
    </mc:Choice>
  </mc:AlternateContent>
  <xr:revisionPtr revIDLastSave="0" documentId="8_{774BDD28-FEFF-46EC-9673-67A5197ABAB7}" xr6:coauthVersionLast="47" xr6:coauthVersionMax="47" xr10:uidLastSave="{00000000-0000-0000-0000-000000000000}"/>
  <bookViews>
    <workbookView xWindow="-8460" yWindow="-21720" windowWidth="51840" windowHeight="21120" xr2:uid="{00000000-000D-0000-FFFF-FFFF00000000}"/>
  </bookViews>
  <sheets>
    <sheet name="Rekenmodel" sheetId="1" r:id="rId1"/>
    <sheet name="Parameters" sheetId="6" state="hidden" r:id="rId2"/>
    <sheet name="Tabel AFM-toetsrente" sheetId="7" state="hidden" r:id="rId3"/>
    <sheet name="Berekening en meldingen" sheetId="8" state="hidden" r:id="rId4"/>
    <sheet name="Wijzigingen" sheetId="5" state="hidden" r:id="rId5"/>
  </sheets>
  <definedNames>
    <definedName name="_xlnm.Print_Area" localSheetId="0">Rekenmodel!$B$1:$J$22</definedName>
    <definedName name="AfmToetsrente">Rekenmodel!$I$5</definedName>
    <definedName name="AlleLeningdelenOK">'Berekening en meldingen'!$V$15</definedName>
    <definedName name="BegindatumGeldigheid">Parameters!$B$1</definedName>
    <definedName name="EinddatumGeldigheid">Parameters!$B$2</definedName>
    <definedName name="GrensRvp">Parameters!$B$4</definedName>
    <definedName name="Meldingen">'Berekening en meldingen'!$C$36</definedName>
    <definedName name="MinstensEenLeningdeelVolledig">'Berekening en meldingen'!$W$15</definedName>
    <definedName name="Offertedatum">Rekenmodel!$G$5</definedName>
    <definedName name="OffertedatumInvoer">Rekenmodel!$F$5</definedName>
    <definedName name="OffertedatumOK">'Berekening en meldingen'!$C$5</definedName>
    <definedName name="OffertedatumOngeldig">'Berekening en meldingen'!$C$1</definedName>
    <definedName name="OffertedatumTeLaat">'Berekening en meldingen'!$C$3</definedName>
    <definedName name="OffertedatumTeVroeg">'Berekening en meldingen'!$C$2</definedName>
    <definedName name="Toetsrente">'Berekening en meldingen'!$I$15</definedName>
    <definedName name="ToetsrenteTonen">'Berekening en meldingen'!$C$18</definedName>
    <definedName name="TotaleLening">'Berekening en meldingen'!$C$15</definedName>
    <definedName name="TotaleLeningTonen">'Berekening en meldingen'!$C$16</definedName>
    <definedName name="Z_14D89E1E_FF60_4AD6_979E_2920D45410EF_.wvu.Cols" localSheetId="0" hidden="1">Rekenmodel!$L:$IO</definedName>
    <definedName name="Z_14D89E1E_FF60_4AD6_979E_2920D45410EF_.wvu.PrintArea" localSheetId="0" hidden="1">Rekenmodel!$B$1:$J$22</definedName>
    <definedName name="Z_14D89E1E_FF60_4AD6_979E_2920D45410EF_.wvu.Rows" localSheetId="0" hidden="1">Rekenmodel!#REF!,Rekenmodel!#REF!,Rekenmodel!#REF!</definedName>
  </definedNames>
  <calcPr calcId="191028"/>
  <customWorkbookViews>
    <customWorkbookView name="andred - Persoonlijke weergave" guid="{14D89E1E-FF60-4AD6-979E-2920D45410EF}" mergeInterval="0" personalView="1" maximized="1" showHorizontalScroll="0" showVerticalScroll="0" windowWidth="1276" windowHeight="851" activeSheetId="1" showStatusbar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8" l="1"/>
  <c r="L10" i="8"/>
  <c r="M10" i="8"/>
  <c r="N10" i="8"/>
  <c r="O10" i="8"/>
  <c r="L11" i="8"/>
  <c r="M11" i="8"/>
  <c r="N11" i="8"/>
  <c r="O11" i="8"/>
  <c r="L12" i="8"/>
  <c r="M12" i="8"/>
  <c r="N12" i="8"/>
  <c r="O12" i="8"/>
  <c r="L13" i="8"/>
  <c r="M13" i="8"/>
  <c r="N13" i="8"/>
  <c r="O13" i="8"/>
  <c r="M9" i="8"/>
  <c r="O9" i="8"/>
  <c r="L9" i="8"/>
  <c r="G5" i="1"/>
  <c r="C1" i="8" l="1"/>
  <c r="F10" i="8"/>
  <c r="F11" i="8"/>
  <c r="S11" i="8" s="1"/>
  <c r="F12" i="8"/>
  <c r="S12" i="8" s="1"/>
  <c r="F13" i="8"/>
  <c r="S13" i="8" s="1"/>
  <c r="F9" i="8"/>
  <c r="E10" i="8"/>
  <c r="R10" i="8" s="1"/>
  <c r="E11" i="8"/>
  <c r="R11" i="8" s="1"/>
  <c r="E12" i="8"/>
  <c r="R12" i="8" s="1"/>
  <c r="E13" i="8"/>
  <c r="R13" i="8" s="1"/>
  <c r="D10" i="8"/>
  <c r="D11" i="8"/>
  <c r="D12" i="8"/>
  <c r="D13" i="8"/>
  <c r="C10" i="8"/>
  <c r="P10" i="8" s="1"/>
  <c r="C11" i="8"/>
  <c r="P11" i="8" s="1"/>
  <c r="C12" i="8"/>
  <c r="P12" i="8" s="1"/>
  <c r="C13" i="8"/>
  <c r="P13" i="8" s="1"/>
  <c r="E9" i="8"/>
  <c r="R9" i="8" s="1"/>
  <c r="D9" i="8"/>
  <c r="C9" i="8"/>
  <c r="P9" i="8" s="1"/>
  <c r="C21" i="8" l="1"/>
  <c r="C3" i="8"/>
  <c r="C23" i="8" s="1"/>
  <c r="S10" i="8"/>
  <c r="S9" i="8"/>
  <c r="Q13" i="8"/>
  <c r="Q12" i="8"/>
  <c r="Q9" i="8"/>
  <c r="X9" i="8" s="1"/>
  <c r="Q11" i="8"/>
  <c r="Q10" i="8"/>
  <c r="C2" i="8"/>
  <c r="C22" i="8" s="1"/>
  <c r="H12" i="8"/>
  <c r="J12" i="8" s="1"/>
  <c r="T11" i="8"/>
  <c r="H13" i="8"/>
  <c r="J13" i="8" s="1"/>
  <c r="H9" i="8"/>
  <c r="J9" i="8" s="1"/>
  <c r="H11" i="8"/>
  <c r="J11" i="8" s="1"/>
  <c r="H10" i="8"/>
  <c r="J10" i="8" s="1"/>
  <c r="T13" i="8"/>
  <c r="G12" i="8"/>
  <c r="G11" i="8"/>
  <c r="G9" i="8"/>
  <c r="G10" i="8"/>
  <c r="G13" i="8"/>
  <c r="C15" i="8"/>
  <c r="C16" i="8" s="1"/>
  <c r="E17" i="1" s="1"/>
  <c r="Y10" i="8" l="1"/>
  <c r="C27" i="8" s="1" a="1"/>
  <c r="C27" i="8" s="1"/>
  <c r="Y12" i="8"/>
  <c r="C31" i="8" s="1" a="1"/>
  <c r="C31" i="8" s="1"/>
  <c r="X12" i="8"/>
  <c r="C30" i="8" s="1" a="1"/>
  <c r="C30" i="8" s="1"/>
  <c r="Y13" i="8"/>
  <c r="C33" i="8" s="1" a="1"/>
  <c r="C33" i="8" s="1"/>
  <c r="X13" i="8"/>
  <c r="C32" i="8" s="1" a="1"/>
  <c r="C32" i="8" s="1"/>
  <c r="Y9" i="8"/>
  <c r="C25" i="8" s="1" a="1"/>
  <c r="C25" i="8" s="1"/>
  <c r="X11" i="8"/>
  <c r="C28" i="8" s="1" a="1"/>
  <c r="C28" i="8" s="1"/>
  <c r="Y11" i="8"/>
  <c r="C29" i="8" s="1" a="1"/>
  <c r="C29" i="8" s="1"/>
  <c r="X10" i="8"/>
  <c r="C26" i="8" s="1" a="1"/>
  <c r="C26" i="8" s="1"/>
  <c r="C24" i="8" a="1"/>
  <c r="C24" i="8" s="1"/>
  <c r="C5" i="8"/>
  <c r="I5" i="1" s="1"/>
  <c r="T9" i="8"/>
  <c r="T12" i="8"/>
  <c r="T10" i="8"/>
  <c r="U12" i="8"/>
  <c r="U10" i="8"/>
  <c r="U13" i="8"/>
  <c r="V13" i="8" s="1"/>
  <c r="U9" i="8"/>
  <c r="U11" i="8"/>
  <c r="V11" i="8" s="1"/>
  <c r="J15" i="8"/>
  <c r="I13" i="8"/>
  <c r="I12" i="8"/>
  <c r="I9" i="8" l="1"/>
  <c r="K9" i="8" s="1"/>
  <c r="I11" i="8"/>
  <c r="K11" i="8" s="1"/>
  <c r="I10" i="8"/>
  <c r="K10" i="8" s="1"/>
  <c r="W9" i="8"/>
  <c r="W10" i="8"/>
  <c r="W11" i="8"/>
  <c r="W12" i="8"/>
  <c r="W13" i="8"/>
  <c r="V10" i="8"/>
  <c r="V12" i="8"/>
  <c r="V9" i="8"/>
  <c r="C11" i="1" s="1"/>
  <c r="K13" i="8"/>
  <c r="K12" i="8"/>
  <c r="C10" i="1" l="1"/>
  <c r="C12" i="1"/>
  <c r="C13" i="1"/>
  <c r="I12" i="1"/>
  <c r="I11" i="1"/>
  <c r="I10" i="1"/>
  <c r="C36" i="8"/>
  <c r="C20" i="1" s="1"/>
  <c r="I13" i="1"/>
  <c r="V15" i="8"/>
  <c r="C14" i="1" s="1"/>
  <c r="C9" i="1"/>
  <c r="I9" i="1"/>
  <c r="W15" i="8"/>
  <c r="K15" i="8"/>
  <c r="I15" i="8" s="1"/>
  <c r="C18" i="8" l="1"/>
  <c r="I1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andred</author>
    <author>Eric de Kogel</author>
  </authors>
  <commentList>
    <comment ref="F3" authorId="0" shapeId="0" xr:uid="{00000000-0006-0000-0100-000001000000}">
      <text>
        <r>
          <rPr>
            <sz val="8"/>
            <color indexed="81"/>
            <rFont val="Tahoma"/>
            <family val="2"/>
          </rPr>
          <t xml:space="preserve">Vul hier een referentie in.
Bijvoorbeeld de naam van de cliënt of het leningnummer.
</t>
        </r>
      </text>
    </comment>
    <comment ref="F5" authorId="0" shapeId="0" xr:uid="{00000000-0006-0000-0100-000002000000}">
      <text>
        <r>
          <rPr>
            <b/>
            <sz val="8"/>
            <color indexed="10"/>
            <rFont val="Tahoma"/>
            <family val="2"/>
          </rPr>
          <t>Let op!</t>
        </r>
        <r>
          <rPr>
            <sz val="8"/>
            <color indexed="81"/>
            <rFont val="Tahoma"/>
            <family val="2"/>
          </rPr>
          <t xml:space="preserve">
*Plaats hier altijd de datum als het ingevulde model digitaal wordt opgeslagen.
*De AFM herziet elk kwartaal de toetsrente en past deze zonodig aan. Dit model houdt rekening met wijzigingen van de AFM-toetsrente.</t>
        </r>
      </text>
    </comment>
    <comment ref="G8" authorId="1" shapeId="0" xr:uid="{1EA6E597-F44A-4001-8448-A7A83602AF3E}">
      <text>
        <r>
          <rPr>
            <sz val="9"/>
            <color indexed="81"/>
            <rFont val="Tahoma"/>
            <family val="2"/>
          </rPr>
          <t>Vul hier de geoffreerde hypotheekrente in.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<sst xmlns="http://schemas.openxmlformats.org/spreadsheetml/2006/main" count="98" uniqueCount="78">
  <si>
    <t>Berekening gewogen gemiddelde toetsrente</t>
  </si>
  <si>
    <t>Referentie</t>
  </si>
  <si>
    <t>AFM-toetsrente</t>
  </si>
  <si>
    <r>
      <t xml:space="preserve">Datum bindend aanbod      </t>
    </r>
    <r>
      <rPr>
        <sz val="10"/>
        <color indexed="62"/>
        <rFont val="Calibri"/>
        <family val="2"/>
      </rPr>
      <t>(dd-mm-jjjj)</t>
    </r>
  </si>
  <si>
    <t xml:space="preserve"> </t>
  </si>
  <si>
    <t>Leningdeel</t>
  </si>
  <si>
    <t>Bedrag</t>
  </si>
  <si>
    <t>(Resterende) looptijd in maanden</t>
  </si>
  <si>
    <t>Nominale rente</t>
  </si>
  <si>
    <t>(Resterende) rentevastperiode in maanden</t>
  </si>
  <si>
    <t>Toetsrente</t>
  </si>
  <si>
    <t>Leningdeel 1</t>
  </si>
  <si>
    <t>Leningdeel 2</t>
  </si>
  <si>
    <t>Leningdeel 3</t>
  </si>
  <si>
    <t>Leningdeel 4</t>
  </si>
  <si>
    <t>Leningdeel 5</t>
  </si>
  <si>
    <t>Totale lening</t>
  </si>
  <si>
    <t>Gewogen gemiddelde toetsrente</t>
  </si>
  <si>
    <t>Uitgiftedatum 10 oktober 2025. Eerder uitgegeven versies komen met de uitgifte van deze versie te vervallen.</t>
  </si>
  <si>
    <t>Begindatum geldigheid</t>
  </si>
  <si>
    <t>Einddatum geldigheid</t>
  </si>
  <si>
    <t>Grens rvp</t>
  </si>
  <si>
    <t>Ingangsdatum</t>
  </si>
  <si>
    <t>AFM-rente</t>
  </si>
  <si>
    <t>Offertedatum is een ongeldige datum</t>
  </si>
  <si>
    <t>Offertedatum te vroeg</t>
  </si>
  <si>
    <t>Offertedatum te laat</t>
  </si>
  <si>
    <t>Offertedatum oké</t>
  </si>
  <si>
    <t>Te vroege datum: foutmelding, niet rekenen</t>
  </si>
  <si>
    <t>Te late datum: waarschuwing, wel rekenen</t>
  </si>
  <si>
    <t>Index</t>
  </si>
  <si>
    <t>Hoofdsom</t>
  </si>
  <si>
    <t>Looptijd</t>
  </si>
  <si>
    <t>Rentepct</t>
  </si>
  <si>
    <t>Rvp</t>
  </si>
  <si>
    <t>AFM conditie</t>
  </si>
  <si>
    <t>Toetslooptijd</t>
  </si>
  <si>
    <t>Weegfactor</t>
  </si>
  <si>
    <t>Gewogen toetsrente</t>
  </si>
  <si>
    <t>Hoofdsom leeg</t>
  </si>
  <si>
    <t>Looptijd leeg</t>
  </si>
  <si>
    <t>Rentepct leeg</t>
  </si>
  <si>
    <t>Rvp leeg</t>
  </si>
  <si>
    <t>Hoofdsom correct</t>
  </si>
  <si>
    <t>Looptijd correct</t>
  </si>
  <si>
    <t>Rentepct correct</t>
  </si>
  <si>
    <t>Rvp correct</t>
  </si>
  <si>
    <t>Er is niets ingevuld</t>
  </si>
  <si>
    <t>Alles is correct ingevuld</t>
  </si>
  <si>
    <t>Invulling oke</t>
  </si>
  <si>
    <t>Toetsrente tonen</t>
  </si>
  <si>
    <t>Melding looptijd</t>
  </si>
  <si>
    <t>Melding rvp</t>
  </si>
  <si>
    <t>Totaal</t>
  </si>
  <si>
    <t>Alles ok</t>
  </si>
  <si>
    <t>Totaal tonen</t>
  </si>
  <si>
    <r>
      <t xml:space="preserve">Toon toetsrente alleen als minstens 1 toetsrente van een leningdeel getoond wordt </t>
    </r>
    <r>
      <rPr>
        <i/>
        <sz val="10"/>
        <rFont val="Arial"/>
        <family val="2"/>
      </rPr>
      <t>en</t>
    </r>
    <r>
      <rPr>
        <sz val="10"/>
        <rFont val="Arial"/>
        <family val="2"/>
      </rPr>
      <t xml:space="preserve"> alle leningdelen zijn oké (geen half ingevulde leningdelen)</t>
    </r>
  </si>
  <si>
    <t>Omschrijving</t>
  </si>
  <si>
    <t>Melding</t>
  </si>
  <si>
    <t>Offertedatum ongeldig</t>
  </si>
  <si>
    <r>
      <t xml:space="preserve">Criterium 'korte rvp' was alleen rvp &lt; 120 maanden, veranderd naar rvp &lt; 120 </t>
    </r>
    <r>
      <rPr>
        <i/>
        <sz val="10"/>
        <rFont val="Arial"/>
        <family val="2"/>
      </rPr>
      <t>en</t>
    </r>
    <r>
      <rPr>
        <sz val="10"/>
        <rFont val="Arial"/>
        <family val="2"/>
      </rPr>
      <t xml:space="preserve"> rvp &lt; looptijd</t>
    </r>
  </si>
  <si>
    <t>Toetsrente bij korte rvp was alleen AFM-rente, veranderd naar het maximum van AFM-rente en offerterente</t>
  </si>
  <si>
    <t>Alles wat met annuïteitenfactor en maandlast te maken heeft verwijderd</t>
  </si>
  <si>
    <t>Melding '/ De gewogen gemiddelde toetsrente dient u in te vullen in het toetsprogramma op het tabblad 'Lening'' verwijderd</t>
  </si>
  <si>
    <t>Onduidelijke parameters Y8 (altijd ONWAAR) en Y10 (altijd WAAR) opgeruimd</t>
  </si>
  <si>
    <t>Bij offertedatum voor 1-4-2007 werd de oude NHG-toets gebruikt. (toetsrente 6%, 'korte rvp' bij &lt;= 60 maanden) deze functionaliteit eruit gehaald, melding toegevoegd bij offertedatum voor die tijd</t>
  </si>
  <si>
    <t>Indicatie 'AFM', 'NHG' en 'perc.GG' verwijderd. Het klopte vaak niet, en je kunt het toch al zien aan het rentepct.</t>
  </si>
  <si>
    <t>Toetsing op (verouderde) NHG-grens verwijderd</t>
  </si>
  <si>
    <t>Looptijd van een leningdeel in formule op maximaal 360 maanden gesteld. Dus als je 480 maanden invult, rekent ie toch met 360 maanden.</t>
  </si>
  <si>
    <t>Lay Out informatie</t>
  </si>
  <si>
    <t>rood:</t>
  </si>
  <si>
    <t>R: 215</t>
  </si>
  <si>
    <t>G: 25</t>
  </si>
  <si>
    <t>B: 32</t>
  </si>
  <si>
    <t>grijs</t>
  </si>
  <si>
    <t>R: 209</t>
  </si>
  <si>
    <t>G: 211</t>
  </si>
  <si>
    <t>B: 212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</si>
</sst>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&quot;€&quot;\ * #,##0.00_-;_-&quot;€&quot;\ * #,##0.00\-;_-&quot;€&quot;\ * &quot;-&quot;??_-;_-@_-"/>
    <numFmt numFmtId="165" formatCode="0.000%"/>
    <numFmt numFmtId="166" formatCode="_ * #,##0_ ;_ * \-#,##0_ ;_ * &quot;-&quot;??_ ;_ @_ "/>
  </numFmts>
  <fonts count="2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8"/>
      <color indexed="81"/>
      <name val="Tahoma"/>
      <family val="2"/>
    </font>
    <font>
      <b/>
      <sz val="8"/>
      <color indexed="10"/>
      <name val="Tahoma"/>
      <family val="2"/>
    </font>
    <font>
      <i/>
      <sz val="10"/>
      <name val="Arial"/>
      <family val="2"/>
    </font>
    <font>
      <sz val="10"/>
      <color indexed="62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16"/>
      <name val="Calibri"/>
      <family val="2"/>
      <scheme val="minor"/>
    </font>
    <font>
      <b/>
      <sz val="10"/>
      <color rgb="FF243657"/>
      <name val="Calibri"/>
      <family val="2"/>
      <scheme val="minor"/>
    </font>
    <font>
      <sz val="10"/>
      <name val="Arial"/>
    </font>
    <font>
      <sz val="9"/>
      <color indexed="81"/>
      <name val="Tahoma"/>
      <family val="2"/>
    </font>
    <font>
      <b/>
      <sz val="10"/>
      <color indexed="16"/>
      <name val="Calibri"/>
      <family val="2"/>
      <scheme val="minor"/>
    </font>
    <font>
      <b/>
      <i/>
      <sz val="10"/>
      <name val="Calibri"/>
      <family val="2"/>
      <scheme val="minor"/>
    </font>
    <font>
      <sz val="8"/>
      <name val="Arial"/>
    </font>
    <font>
      <b/>
      <sz val="14"/>
      <color theme="0"/>
      <name val="Calibri"/>
      <family val="2"/>
      <scheme val="minor"/>
    </font>
    <font>
      <b/>
      <sz val="14"/>
      <color rgb="FF243657"/>
      <name val="Calibri"/>
      <family val="2"/>
      <scheme val="minor"/>
    </font>
    <font>
      <b/>
      <i/>
      <sz val="10"/>
      <color rgb="FF243657"/>
      <name val="Calibri"/>
      <family val="2"/>
      <scheme val="minor"/>
    </font>
    <font>
      <b/>
      <sz val="18"/>
      <color rgb="FF002F6C"/>
      <name val="Titilium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EFF3F6"/>
        <bgColor indexed="64"/>
      </patternFill>
    </fill>
    <fill>
      <patternFill patternType="solid">
        <fgColor rgb="FF028C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57">
    <xf numFmtId="0" fontId="0" fillId="0" borderId="0" xfId="0"/>
    <xf numFmtId="0" fontId="0" fillId="2" borderId="3" xfId="0" applyFill="1" applyBorder="1"/>
    <xf numFmtId="0" fontId="0" fillId="4" borderId="3" xfId="0" applyFill="1" applyBorder="1"/>
    <xf numFmtId="0" fontId="3" fillId="5" borderId="3" xfId="0" applyFont="1" applyFill="1" applyBorder="1"/>
    <xf numFmtId="0" fontId="8" fillId="0" borderId="0" xfId="0" applyFont="1"/>
    <xf numFmtId="14" fontId="8" fillId="3" borderId="3" xfId="0" applyNumberFormat="1" applyFont="1" applyFill="1" applyBorder="1" applyProtection="1">
      <protection locked="0"/>
    </xf>
    <xf numFmtId="0" fontId="1" fillId="0" borderId="0" xfId="0" applyFont="1"/>
    <xf numFmtId="14" fontId="0" fillId="0" borderId="0" xfId="0" applyNumberFormat="1"/>
    <xf numFmtId="14" fontId="8" fillId="0" borderId="0" xfId="0" applyNumberFormat="1" applyFont="1"/>
    <xf numFmtId="0" fontId="8" fillId="0" borderId="0" xfId="0" applyFont="1" applyAlignment="1">
      <alignment wrapText="1"/>
    </xf>
    <xf numFmtId="10" fontId="8" fillId="0" borderId="0" xfId="0" applyNumberFormat="1" applyFont="1"/>
    <xf numFmtId="10" fontId="0" fillId="0" borderId="0" xfId="2" applyNumberFormat="1" applyFont="1"/>
    <xf numFmtId="1" fontId="0" fillId="0" borderId="0" xfId="0" applyNumberFormat="1"/>
    <xf numFmtId="165" fontId="0" fillId="0" borderId="0" xfId="2" applyNumberFormat="1" applyFont="1"/>
    <xf numFmtId="164" fontId="0" fillId="0" borderId="0" xfId="3" applyFont="1"/>
    <xf numFmtId="165" fontId="0" fillId="0" borderId="0" xfId="0" applyNumberFormat="1"/>
    <xf numFmtId="164" fontId="0" fillId="0" borderId="0" xfId="0" applyNumberFormat="1"/>
    <xf numFmtId="0" fontId="8" fillId="3" borderId="0" xfId="0" applyFont="1" applyFill="1"/>
    <xf numFmtId="0" fontId="8" fillId="6" borderId="0" xfId="0" applyFont="1" applyFill="1"/>
    <xf numFmtId="0" fontId="11" fillId="6" borderId="0" xfId="0" applyFont="1" applyFill="1" applyAlignment="1">
      <alignment horizontal="left"/>
    </xf>
    <xf numFmtId="0" fontId="11" fillId="6" borderId="0" xfId="0" applyFont="1" applyFill="1" applyAlignment="1">
      <alignment horizontal="center" vertical="center" wrapText="1"/>
    </xf>
    <xf numFmtId="0" fontId="11" fillId="6" borderId="0" xfId="0" applyFont="1" applyFill="1"/>
    <xf numFmtId="14" fontId="9" fillId="6" borderId="0" xfId="0" applyNumberFormat="1" applyFont="1" applyFill="1"/>
    <xf numFmtId="0" fontId="11" fillId="6" borderId="0" xfId="0" applyFont="1" applyFill="1" applyAlignment="1">
      <alignment horizontal="center" wrapText="1"/>
    </xf>
    <xf numFmtId="0" fontId="11" fillId="6" borderId="0" xfId="0" applyFont="1" applyFill="1" applyAlignment="1">
      <alignment horizontal="center"/>
    </xf>
    <xf numFmtId="0" fontId="8" fillId="6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8" fillId="6" borderId="0" xfId="0" applyFont="1" applyFill="1" applyAlignment="1">
      <alignment horizontal="center"/>
    </xf>
    <xf numFmtId="0" fontId="9" fillId="6" borderId="0" xfId="0" applyFont="1" applyFill="1" applyAlignment="1">
      <alignment vertical="center"/>
    </xf>
    <xf numFmtId="0" fontId="9" fillId="6" borderId="0" xfId="0" applyFont="1" applyFill="1" applyAlignment="1">
      <alignment horizontal="center"/>
    </xf>
    <xf numFmtId="0" fontId="9" fillId="6" borderId="0" xfId="0" applyFont="1" applyFill="1" applyAlignment="1">
      <alignment horizontal="center" vertical="center"/>
    </xf>
    <xf numFmtId="164" fontId="9" fillId="8" borderId="3" xfId="3" applyFont="1" applyFill="1" applyBorder="1" applyAlignment="1" applyProtection="1">
      <alignment horizontal="center"/>
      <protection locked="0"/>
    </xf>
    <xf numFmtId="166" fontId="9" fillId="8" borderId="3" xfId="4" applyNumberFormat="1" applyFont="1" applyFill="1" applyBorder="1" applyAlignment="1" applyProtection="1">
      <alignment horizontal="center"/>
      <protection locked="0"/>
    </xf>
    <xf numFmtId="165" fontId="9" fillId="8" borderId="3" xfId="2" applyNumberFormat="1" applyFont="1" applyFill="1" applyBorder="1" applyAlignment="1" applyProtection="1">
      <alignment horizontal="right"/>
      <protection locked="0"/>
    </xf>
    <xf numFmtId="165" fontId="9" fillId="6" borderId="0" xfId="0" applyNumberFormat="1" applyFont="1" applyFill="1"/>
    <xf numFmtId="0" fontId="15" fillId="6" borderId="0" xfId="0" applyFont="1" applyFill="1"/>
    <xf numFmtId="0" fontId="9" fillId="6" borderId="0" xfId="0" applyFont="1" applyFill="1" applyAlignment="1">
      <alignment horizontal="center" vertical="center" wrapText="1"/>
    </xf>
    <xf numFmtId="9" fontId="9" fillId="6" borderId="0" xfId="2" applyFont="1" applyFill="1" applyAlignment="1" applyProtection="1">
      <alignment horizontal="center"/>
    </xf>
    <xf numFmtId="9" fontId="0" fillId="0" borderId="0" xfId="2" applyFont="1"/>
    <xf numFmtId="10" fontId="0" fillId="0" borderId="0" xfId="0" applyNumberFormat="1"/>
    <xf numFmtId="43" fontId="9" fillId="6" borderId="0" xfId="4" applyFont="1" applyFill="1" applyAlignment="1">
      <alignment horizontal="center"/>
    </xf>
    <xf numFmtId="164" fontId="9" fillId="6" borderId="0" xfId="0" applyNumberFormat="1" applyFont="1" applyFill="1" applyAlignment="1">
      <alignment horizontal="center"/>
    </xf>
    <xf numFmtId="0" fontId="11" fillId="6" borderId="0" xfId="0" quotePrefix="1" applyFont="1" applyFill="1" applyAlignment="1">
      <alignment horizontal="center" wrapText="1"/>
    </xf>
    <xf numFmtId="0" fontId="9" fillId="6" borderId="0" xfId="0" applyFont="1" applyFill="1" applyAlignment="1">
      <alignment horizontal="left" vertical="center"/>
    </xf>
    <xf numFmtId="0" fontId="11" fillId="6" borderId="0" xfId="0" applyFont="1" applyFill="1" applyAlignment="1">
      <alignment horizontal="left" vertical="center"/>
    </xf>
    <xf numFmtId="0" fontId="19" fillId="6" borderId="0" xfId="0" applyFont="1" applyFill="1"/>
    <xf numFmtId="0" fontId="14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20" fillId="0" borderId="0" xfId="0" applyFont="1" applyAlignment="1">
      <alignment horizontal="left" vertical="center" indent="3"/>
    </xf>
    <xf numFmtId="165" fontId="17" fillId="7" borderId="1" xfId="0" applyNumberFormat="1" applyFont="1" applyFill="1" applyBorder="1" applyAlignment="1">
      <alignment horizontal="center" vertical="center" wrapText="1"/>
    </xf>
    <xf numFmtId="165" fontId="17" fillId="7" borderId="2" xfId="0" applyNumberFormat="1" applyFont="1" applyFill="1" applyBorder="1" applyAlignment="1">
      <alignment horizontal="center" vertical="center" wrapText="1"/>
    </xf>
    <xf numFmtId="165" fontId="18" fillId="6" borderId="1" xfId="0" applyNumberFormat="1" applyFont="1" applyFill="1" applyBorder="1" applyAlignment="1">
      <alignment horizontal="center" vertical="center"/>
    </xf>
    <xf numFmtId="165" fontId="18" fillId="6" borderId="2" xfId="0" applyNumberFormat="1" applyFont="1" applyFill="1" applyBorder="1" applyAlignment="1">
      <alignment horizontal="center" vertical="center"/>
    </xf>
    <xf numFmtId="164" fontId="18" fillId="6" borderId="1" xfId="0" applyNumberFormat="1" applyFont="1" applyFill="1" applyBorder="1" applyAlignment="1">
      <alignment horizontal="center" vertical="center"/>
    </xf>
    <xf numFmtId="0" fontId="18" fillId="6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 applyProtection="1">
      <alignment horizontal="left"/>
      <protection locked="0"/>
    </xf>
    <xf numFmtId="0" fontId="9" fillId="6" borderId="0" xfId="0" applyFont="1" applyFill="1" applyAlignment="1">
      <alignment horizontal="left" vertical="top" wrapText="1"/>
    </xf>
  </cellXfs>
  <cellStyles count="5">
    <cellStyle name="Euro" xfId="1" xr:uid="{00000000-0005-0000-0000-000001000000}"/>
    <cellStyle name="Komma" xfId="4" builtinId="3"/>
    <cellStyle name="Procent" xfId="2" builtinId="5"/>
    <cellStyle name="Standaard" xfId="0" builtinId="0"/>
    <cellStyle name="Valuta" xfId="3" builtinId="4"/>
  </cellStyles>
  <dxfs count="3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_-&quot;€&quot;\ * #,##0.00_-;_-&quot;€&quot;\ * #,##0.00\-;_-&quot;€&quot;\ * &quot;-&quot;??_-;_-@_-"/>
    </dxf>
    <dxf>
      <numFmt numFmtId="165" formatCode="0.000%"/>
    </dxf>
    <dxf>
      <numFmt numFmtId="1" formatCode="0"/>
    </dxf>
    <dxf>
      <numFmt numFmtId="1" formatCode="0"/>
    </dxf>
    <dxf>
      <numFmt numFmtId="1" formatCode="0"/>
    </dxf>
    <dxf>
      <numFmt numFmtId="165" formatCode="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9" formatCode="d/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0.000%"/>
      <fill>
        <patternFill patternType="solid">
          <fgColor indexed="64"/>
          <bgColor rgb="FFEFF3F6"/>
        </patternFill>
      </fill>
      <alignment horizontal="general" vertical="bottom" textRotation="0" wrapText="0" indent="0" justifyLastLine="0" shrinkToFit="0" readingOrder="0"/>
      <border>
        <left style="thin">
          <color indexed="64"/>
        </left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6" formatCode="_ * #,##0_ ;_ * \-#,##0_ ;_ * &quot;-&quot;??_ ;_ @_ 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0.00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6" formatCode="_ * #,##0_ ;_ * \-#,##0_ ;_ * &quot;-&quot;??_ ;_ @_ 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rgb="FFEFF3F6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rgb="FFEFF3F6"/>
        </patternFill>
      </fill>
      <alignment horizontal="left" vertical="center" textRotation="0" wrapText="0" indent="0" justifyLastLine="0" shrinkToFit="0" readingOrder="0"/>
      <border outline="0">
        <right style="thin">
          <color indexed="64"/>
        </right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rgb="FFEFF3F6"/>
        </patternFill>
      </fill>
      <alignment horizontal="center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243657"/>
        <name val="Calibri"/>
        <family val="2"/>
        <scheme val="minor"/>
      </font>
      <fill>
        <patternFill patternType="solid">
          <fgColor indexed="64"/>
          <bgColor rgb="FFEFF3F6"/>
        </patternFill>
      </fill>
      <alignment horizontal="center" vertical="bottom" textRotation="0" wrapText="1" indent="0" justifyLastLine="0" shrinkToFit="0" readingOrder="0"/>
      <protection locked="1" hidden="0"/>
    </dxf>
    <dxf>
      <font>
        <condense val="0"/>
        <extend val="0"/>
        <color indexed="9"/>
      </font>
      <fill>
        <patternFill>
          <bgColor indexed="16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71920"/>
      <rgbColor rgb="00FFFFFF"/>
      <rgbColor rgb="00FF0000"/>
      <rgbColor rgb="0000FF00"/>
      <rgbColor rgb="000000FF"/>
      <rgbColor rgb="00FFFF00"/>
      <rgbColor rgb="00FF00FF"/>
      <rgbColor rgb="0000FFFF"/>
      <rgbColor rgb="00BE2F37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D1D3D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2F6C"/>
      <color rgb="FF243657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20</xdr:row>
      <xdr:rowOff>1133475</xdr:rowOff>
    </xdr:from>
    <xdr:to>
      <xdr:col>1</xdr:col>
      <xdr:colOff>706755</xdr:colOff>
      <xdr:row>23</xdr:row>
      <xdr:rowOff>0</xdr:rowOff>
    </xdr:to>
    <xdr:sp macro="" textlink="">
      <xdr:nvSpPr>
        <xdr:cNvPr id="1141" name="Button 117" hidden="1">
          <a:extLst>
            <a:ext uri="{63B3BB69-23CF-44E3-9099-C40C66FF867C}">
              <a14:compatExt xmlns:a14="http://schemas.microsoft.com/office/drawing/2010/main" spid="_x0000_s1141"/>
            </a:ext>
            <a:ext uri="{FF2B5EF4-FFF2-40B4-BE49-F238E27FC236}">
              <a16:creationId xmlns:a16="http://schemas.microsoft.com/office/drawing/2014/main" id="{4A22CBD5-3AFC-4F70-BF99-ED4C93E13146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P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rint</a:t>
          </a:r>
        </a:p>
      </xdr:txBody>
    </xdr:sp>
    <xdr:clientData fPrintsWithSheet="0"/>
  </xdr:twoCellAnchor>
  <xdr:twoCellAnchor editAs="oneCell">
    <xdr:from>
      <xdr:col>2</xdr:col>
      <xdr:colOff>69056</xdr:colOff>
      <xdr:row>0</xdr:row>
      <xdr:rowOff>183357</xdr:rowOff>
    </xdr:from>
    <xdr:to>
      <xdr:col>4</xdr:col>
      <xdr:colOff>55426</xdr:colOff>
      <xdr:row>0</xdr:row>
      <xdr:rowOff>1007268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0935C3-B3C2-6C66-FF6F-21855C081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5381" y="183357"/>
          <a:ext cx="1415120" cy="82391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9CA0FD9-857D-4AC9-98C9-DC6F9EAB0607}" name="Tabel3" displayName="Tabel3" ref="C8:I13" totalsRowShown="0" headerRowDxfId="32" dataDxfId="31">
  <autoFilter ref="C8:I13" xr:uid="{09CA0FD9-857D-4AC9-98C9-DC6F9EAB060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47189B8A-7AEB-4483-B1CD-CFB2F447A460}" name=" " dataDxfId="30">
      <calculatedColumnFormula>IF(Tabel2[[#This Row],[Invulling oke]],"","(*)")</calculatedColumnFormula>
    </tableColumn>
    <tableColumn id="7" xr3:uid="{4D4CD14C-5915-420D-8E1F-42AE3F1856EA}" name="Leningdeel" dataDxfId="29"/>
    <tableColumn id="2" xr3:uid="{79DF47FB-5AE7-445F-9647-1FC3C3739C74}" name="Bedrag" dataDxfId="28"/>
    <tableColumn id="3" xr3:uid="{581FB806-252A-4CA5-B3C2-D82FFD4D905D}" name="(Resterende) looptijd in maanden" dataDxfId="27"/>
    <tableColumn id="4" xr3:uid="{78002F65-C99F-4573-A1C3-2B14C3F2A900}" name="Nominale rente" dataDxfId="26"/>
    <tableColumn id="5" xr3:uid="{71E412A5-6FAF-47F7-BFF6-739CA48F783B}" name="(Resterende) rentevastperiode in maanden" dataDxfId="25"/>
    <tableColumn id="6" xr3:uid="{1CE4BD1A-E60A-44F5-8729-A1771229E137}" name="Toetsrente" dataDxfId="24">
      <calculatedColumnFormula>IF(Tabel2[[#This Row],[Toetsrente tonen]],Tabel2[[#This Row],[Toetsrente]],"")</calculatedColumnFormula>
    </tableColumn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8ECEDD-F80F-460C-A68E-053DEEAD1DE9}" name="tbAfmRente" displayName="tbAfmRente" ref="A1:B27" totalsRowShown="0" headerRowDxfId="23" dataDxfId="22">
  <autoFilter ref="A1:B27" xr:uid="{888ECEDD-F80F-460C-A68E-053DEEAD1DE9}"/>
  <tableColumns count="2">
    <tableColumn id="1" xr3:uid="{097E07EF-C58B-4CED-A92E-C6B2FCC7D5B3}" name="Ingangsdatum" dataDxfId="21"/>
    <tableColumn id="2" xr3:uid="{4235BE6C-36FD-4F8D-B157-11C469B28CB6}" name="AFM-rente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4F4B84-6CA2-4F8E-BBA6-4A81241AF3A1}" name="Tabel2" displayName="Tabel2" ref="A8:Y13" totalsRowShown="0" headerRowDxfId="19">
  <autoFilter ref="A8:Y13" xr:uid="{E64F4B84-6CA2-4F8E-BBA6-4A81241AF3A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9" xr3:uid="{690590E1-8833-431D-8E84-B91A1B51295C}" name="Index"/>
    <tableColumn id="1" xr3:uid="{21792D27-F724-4522-829C-75C612DB06B4}" name="Leningdeel" dataDxfId="18"/>
    <tableColumn id="2" xr3:uid="{B27AA0BF-E0BB-4584-86AF-5CF4AD58A8CA}" name="Hoofdsom">
      <calculatedColumnFormula>Tabel3[[#This Row],[Bedrag]]</calculatedColumnFormula>
    </tableColumn>
    <tableColumn id="3" xr3:uid="{602EC4F5-3511-4C7F-B661-719D3ECCD876}" name="Looptijd">
      <calculatedColumnFormula>Tabel3[[#This Row],[(Resterende) looptijd in maanden]]</calculatedColumnFormula>
    </tableColumn>
    <tableColumn id="4" xr3:uid="{79C79D9E-B112-4623-A00A-095CCB4230D3}" name="Rentepct" dataDxfId="17">
      <calculatedColumnFormula>Tabel3[[#This Row],[Nominale rente]]</calculatedColumnFormula>
    </tableColumn>
    <tableColumn id="5" xr3:uid="{5821DC1E-37F4-495B-80E5-582A38B1BC5C}" name="Rvp" dataDxfId="16">
      <calculatedColumnFormula>Tabel3[[#This Row],[(Resterende) rentevastperiode in maanden]]</calculatedColumnFormula>
    </tableColumn>
    <tableColumn id="10" xr3:uid="{6EF2310C-92D5-4030-B905-8F8F1C536902}" name="AFM conditie" dataDxfId="15">
      <calculatedColumnFormula>AND(Tabel2[[#This Row],[Rvp]]&lt;GrensRvp,Tabel2[[#This Row],[Rvp]]&lt;Tabel2[[#This Row],[Looptijd]])</calculatedColumnFormula>
    </tableColumn>
    <tableColumn id="14" xr3:uid="{6CE18637-5D87-47C9-ABCD-1C2B02FB58BE}" name="Toetslooptijd" dataDxfId="14">
      <calculatedColumnFormula>MIN(360, Tabel2[[#This Row],[Looptijd]])</calculatedColumnFormula>
    </tableColumn>
    <tableColumn id="6" xr3:uid="{8F54DBBE-0E72-47B9-A0D4-C4E89F44F196}" name="Toetsrente" dataDxfId="13">
      <calculatedColumnFormula>IF(AND(Tabel2[[#This Row],[Rvp]]&lt;GrensRvp,Tabel2[[#This Row],[Rvp]]&lt;Tabel2[[#This Row],[Looptijd]]),MAX(AfmToetsrente,Tabel2[[#This Row],[Rentepct]]),Tabel2[[#This Row],[Rentepct]])</calculatedColumnFormula>
    </tableColumn>
    <tableColumn id="7" xr3:uid="{3963F805-18C5-42EE-844C-4464D64B8E58}" name="Weegfactor" dataDxfId="12">
      <calculatedColumnFormula>Tabel2[[#This Row],[Hoofdsom]]*Tabel2[[#This Row],[Toetslooptijd]]</calculatedColumnFormula>
    </tableColumn>
    <tableColumn id="8" xr3:uid="{CA5123C9-7762-49DB-B23B-F61C8994E8BC}" name="Gewogen toetsrente" dataDxfId="11">
      <calculatedColumnFormula>Tabel2[[#This Row],[Weegfactor]]*Tabel2[[#This Row],[Toetsrente]]</calculatedColumnFormula>
    </tableColumn>
    <tableColumn id="21" xr3:uid="{F60BFFF3-4C4D-4E2A-8867-E16A7795F997}" name="Hoofdsom leeg" dataDxfId="10">
      <calculatedColumnFormula>Tabel3[[#This Row],[Bedrag]]=""</calculatedColumnFormula>
    </tableColumn>
    <tableColumn id="22" xr3:uid="{58B9EC53-1B59-4350-9696-D468977C5E4C}" name="Looptijd leeg">
      <calculatedColumnFormula>Tabel3[[#This Row],[(Resterende) looptijd in maanden]]=""</calculatedColumnFormula>
    </tableColumn>
    <tableColumn id="23" xr3:uid="{9F959B4B-74E8-4620-B258-401625F39315}" name="Rentepct leeg">
      <calculatedColumnFormula>Tabel3[[#This Row],[Nominale rente]]=""</calculatedColumnFormula>
    </tableColumn>
    <tableColumn id="24" xr3:uid="{B2FF3FEC-6179-4D01-9012-A53E5F0319A1}" name="Rvp leeg">
      <calculatedColumnFormula>Tabel3[[#This Row],[(Resterende) rentevastperiode in maanden]]=""</calculatedColumnFormula>
    </tableColumn>
    <tableColumn id="17" xr3:uid="{B8D1AF29-F1E3-4352-AEEA-85093C002996}" name="Hoofdsom correct" dataDxfId="9">
      <calculatedColumnFormula>AND(ISNUMBER(Tabel2[[#This Row],[Hoofdsom]]),Tabel2[[#This Row],[Hoofdsom]]&gt;0)</calculatedColumnFormula>
    </tableColumn>
    <tableColumn id="18" xr3:uid="{ECC1D976-C44B-4A4C-B976-2BAEA112BAD5}" name="Looptijd correct" dataDxfId="8">
      <calculatedColumnFormula>AND(ISNUMBER(Tabel2[[#This Row],[Looptijd]]),Tabel2[[#This Row],[Looptijd]]&gt;0)</calculatedColumnFormula>
    </tableColumn>
    <tableColumn id="19" xr3:uid="{A5D8EAC4-3155-4849-836D-DED12568B731}" name="Rentepct correct" dataDxfId="7">
      <calculatedColumnFormula>AND(NOT(Tabel2[[#This Row],[Rentepct leeg]]),ISNUMBER(Tabel2[[#This Row],[Rentepct]]))</calculatedColumnFormula>
    </tableColumn>
    <tableColumn id="20" xr3:uid="{57A90874-BCCC-44DC-8DAA-9DA38BD4C822}" name="Rvp correct" dataDxfId="6">
      <calculatedColumnFormula>AND(ISNUMBER(Tabel2[[#This Row],[Rvp]]),Tabel2[[#This Row],[Rvp]]&gt;0)</calculatedColumnFormula>
    </tableColumn>
    <tableColumn id="16" xr3:uid="{7575DE90-4F52-430D-8BB5-8C45BAE34631}" name="Er is niets ingevuld" dataDxfId="5">
      <calculatedColumnFormula>AND(Tabel2[[#This Row],[Hoofdsom leeg]:[Rvp leeg]])</calculatedColumnFormula>
    </tableColumn>
    <tableColumn id="15" xr3:uid="{226C03ED-C472-465C-AC54-6F571EECE689}" name="Alles is correct ingevuld" dataDxfId="4">
      <calculatedColumnFormula>AND(Tabel2[[#This Row],[Hoofdsom correct]:[Rvp correct]])</calculatedColumnFormula>
    </tableColumn>
    <tableColumn id="25" xr3:uid="{04EAC7B1-867E-4DF7-8607-04BD4B0CFD9E}" name="Invulling oke" dataDxfId="3">
      <calculatedColumnFormula>OR(Tabel2[[#This Row],[Er is niets ingevuld]],Tabel2[[#This Row],[Alles is correct ingevuld]])</calculatedColumnFormula>
    </tableColumn>
    <tableColumn id="27" xr3:uid="{882A64E7-0004-4484-95A3-32BE91447EC1}" name="Toetsrente tonen" dataDxfId="2">
      <calculatedColumnFormula>AND(OffertedatumOK,Tabel2[[#This Row],[Alles is correct ingevuld]])</calculatedColumnFormula>
    </tableColumn>
    <tableColumn id="11" xr3:uid="{DFCF6E00-385F-4C88-BE23-92FBAE5D491A}" name="Melding looptijd" dataDxfId="1">
      <calculatedColumnFormula>IF(AND(Tabel2[[#This Row],[Looptijd correct]],Tabel2[[#This Row],[Looptijd]]&gt;360),"De looptijd van leningdeel "&amp;Tabel2[[#This Row],[Index]]&amp;" is langer dan 360 maanden. Er wordt gerekend met een looptijd van 360 maanden.","")</calculatedColumnFormula>
    </tableColumn>
    <tableColumn id="13" xr3:uid="{3317DD10-58C6-4CED-8F86-30C1712260C8}" name="Melding rvp" dataDxfId="0">
      <calculatedColumnFormula>IF(AND(Tabel2[[#This Row],[Looptijd correct]],Tabel2[[#This Row],[Rvp correct]],Tabel2[[#This Row],[Looptijd]]&gt;0,Tabel2[[#This Row],[Rvp]]&gt;Tabel2[[#This Row],[Looptijd]]),"De (resterende) rentevastperiode van leningdeel "&amp;Tabel2[[#This Row],[Index]]&amp;" is langer dan de (resterende) looptijd.","")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>
    <pageSetUpPr fitToPage="1"/>
  </sheetPr>
  <dimension ref="A1:XFC22"/>
  <sheetViews>
    <sheetView showGridLines="0" tabSelected="1" showOutlineSymbols="0" zoomScaleNormal="100" workbookViewId="0">
      <selection activeCell="F5" sqref="F5"/>
    </sheetView>
  </sheetViews>
  <sheetFormatPr defaultColWidth="9.140625" defaultRowHeight="12.95"/>
  <cols>
    <col min="1" max="1" width="2.85546875" style="4" customWidth="1"/>
    <col min="2" max="2" width="13.28515625" style="4" customWidth="1"/>
    <col min="3" max="3" width="4.7109375" style="4" customWidth="1"/>
    <col min="4" max="4" width="16.7109375" style="4" customWidth="1"/>
    <col min="5" max="9" width="20.7109375" style="4" customWidth="1"/>
    <col min="10" max="10" width="13.28515625" style="4" customWidth="1"/>
    <col min="11" max="11" width="2.7109375" style="4" customWidth="1"/>
    <col min="12" max="12" width="15.42578125" style="4" hidden="1" bestFit="1" customWidth="1"/>
    <col min="13" max="13" width="9.140625" style="4" hidden="1" bestFit="1" customWidth="1"/>
    <col min="14" max="14" width="36.28515625" style="4" hidden="1" bestFit="1" customWidth="1"/>
    <col min="15" max="15" width="11.140625" style="4" hidden="1" bestFit="1" customWidth="1"/>
    <col min="16" max="16" width="9.140625" style="4" hidden="1" bestFit="1" customWidth="1"/>
    <col min="17" max="17" width="12.28515625" style="4" hidden="1" bestFit="1" customWidth="1"/>
    <col min="18" max="18" width="30.140625" style="4" hidden="1" bestFit="1" customWidth="1"/>
    <col min="19" max="22" width="9.140625" style="4" hidden="1" bestFit="1" customWidth="1"/>
    <col min="23" max="23" width="12.28515625" style="4" hidden="1" bestFit="1" customWidth="1"/>
    <col min="24" max="24" width="30.140625" style="4" hidden="1" bestFit="1" customWidth="1"/>
    <col min="25" max="16383" width="9.140625" style="4" hidden="1" bestFit="1" customWidth="1"/>
    <col min="16384" max="16384" width="0" style="4" hidden="1" customWidth="1"/>
  </cols>
  <sheetData>
    <row r="1" spans="1:21" ht="94.5" customHeight="1">
      <c r="A1" s="17"/>
      <c r="B1" s="46"/>
      <c r="C1" s="47"/>
      <c r="D1" s="47"/>
      <c r="E1" s="48" t="s">
        <v>0</v>
      </c>
      <c r="F1" s="47"/>
      <c r="G1" s="47"/>
      <c r="H1" s="47"/>
      <c r="I1" s="4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</row>
    <row r="2" spans="1:21">
      <c r="A2" s="17"/>
      <c r="B2" s="18"/>
      <c r="C2" s="18"/>
      <c r="D2" s="18"/>
      <c r="E2" s="18"/>
      <c r="F2" s="18"/>
      <c r="G2" s="18"/>
      <c r="H2" s="18"/>
      <c r="I2" s="18"/>
      <c r="J2" s="18"/>
      <c r="K2" s="17"/>
      <c r="L2" s="17"/>
    </row>
    <row r="3" spans="1:21" ht="12.75" customHeight="1">
      <c r="A3" s="17"/>
      <c r="B3" s="18"/>
      <c r="C3" s="19" t="s">
        <v>1</v>
      </c>
      <c r="D3" s="19"/>
      <c r="E3" s="27"/>
      <c r="F3" s="55"/>
      <c r="G3" s="55"/>
      <c r="H3" s="18"/>
      <c r="I3" s="20" t="s">
        <v>2</v>
      </c>
      <c r="J3" s="18"/>
      <c r="K3" s="17"/>
      <c r="L3" s="17"/>
    </row>
    <row r="4" spans="1:21" ht="4.5" customHeight="1">
      <c r="A4" s="17"/>
      <c r="B4" s="18"/>
      <c r="C4" s="18"/>
      <c r="D4" s="18"/>
      <c r="E4" s="18"/>
      <c r="F4" s="18"/>
      <c r="G4" s="18"/>
      <c r="H4" s="18"/>
      <c r="I4" s="18"/>
      <c r="J4" s="18"/>
      <c r="K4" s="17"/>
      <c r="L4" s="17"/>
    </row>
    <row r="5" spans="1:21">
      <c r="A5" s="17"/>
      <c r="B5" s="18"/>
      <c r="C5" s="21" t="s">
        <v>3</v>
      </c>
      <c r="D5" s="21"/>
      <c r="E5" s="18"/>
      <c r="F5" s="5"/>
      <c r="G5" s="22">
        <f ca="1">IF(OffertedatumInvoer="",NOW(),OffertedatumInvoer)</f>
        <v>45950.432571412035</v>
      </c>
      <c r="H5" s="18"/>
      <c r="I5" s="49">
        <f ca="1">IF(OffertedatumOK, _xlfn.XLOOKUP(Offertedatum,tbAfmRente[Ingangsdatum],tbAfmRente[AFM-rente],"N.v.t.",-1,2), "N.v.t.")</f>
        <v>0.05</v>
      </c>
      <c r="J5" s="18"/>
      <c r="K5" s="17"/>
      <c r="L5" s="17"/>
    </row>
    <row r="6" spans="1:21">
      <c r="A6" s="17"/>
      <c r="B6" s="18"/>
      <c r="C6" s="28"/>
      <c r="D6" s="28"/>
      <c r="E6" s="18"/>
      <c r="F6" s="29"/>
      <c r="G6" s="29"/>
      <c r="H6" s="18"/>
      <c r="I6" s="50"/>
      <c r="J6" s="18"/>
      <c r="K6" s="17"/>
      <c r="L6" s="17"/>
    </row>
    <row r="7" spans="1:21">
      <c r="A7" s="17"/>
      <c r="B7" s="18"/>
      <c r="C7" s="28"/>
      <c r="D7" s="28"/>
      <c r="E7" s="18"/>
      <c r="F7" s="40"/>
      <c r="G7" s="29"/>
      <c r="H7" s="29"/>
      <c r="I7" s="18"/>
      <c r="J7" s="18"/>
      <c r="K7" s="17"/>
      <c r="L7" s="17"/>
    </row>
    <row r="8" spans="1:21" ht="39">
      <c r="A8" s="17"/>
      <c r="B8" s="18"/>
      <c r="C8" s="42" t="s">
        <v>4</v>
      </c>
      <c r="D8" s="23" t="s">
        <v>5</v>
      </c>
      <c r="E8" s="23" t="s">
        <v>6</v>
      </c>
      <c r="F8" s="23" t="s">
        <v>7</v>
      </c>
      <c r="G8" s="23" t="s">
        <v>8</v>
      </c>
      <c r="H8" s="23" t="s">
        <v>9</v>
      </c>
      <c r="I8" s="23" t="s">
        <v>10</v>
      </c>
      <c r="J8" s="18"/>
      <c r="K8" s="17"/>
      <c r="L8" s="17"/>
    </row>
    <row r="9" spans="1:21">
      <c r="A9" s="17"/>
      <c r="B9" s="18"/>
      <c r="C9" s="43" t="str">
        <f ca="1">IF(Tabel2[[#This Row],[Invulling oke]],"","(*)")</f>
        <v/>
      </c>
      <c r="D9" s="30" t="s">
        <v>11</v>
      </c>
      <c r="E9" s="31"/>
      <c r="F9" s="32"/>
      <c r="G9" s="33"/>
      <c r="H9" s="32"/>
      <c r="I9" s="34" t="str">
        <f ca="1">IF(Tabel2[[#This Row],[Toetsrente tonen]],Tabel2[[#This Row],[Toetsrente]],"")</f>
        <v/>
      </c>
      <c r="J9" s="18"/>
      <c r="K9" s="17"/>
      <c r="L9" s="17"/>
    </row>
    <row r="10" spans="1:21">
      <c r="A10" s="17"/>
      <c r="B10" s="18"/>
      <c r="C10" s="43" t="str">
        <f ca="1">IF(Tabel2[[#This Row],[Invulling oke]],"","(*)")</f>
        <v/>
      </c>
      <c r="D10" s="30" t="s">
        <v>12</v>
      </c>
      <c r="E10" s="31"/>
      <c r="F10" s="32"/>
      <c r="G10" s="33"/>
      <c r="H10" s="32"/>
      <c r="I10" s="34" t="str">
        <f ca="1">IF(Tabel2[[#This Row],[Toetsrente tonen]],Tabel2[[#This Row],[Toetsrente]],"")</f>
        <v/>
      </c>
      <c r="J10" s="18"/>
      <c r="K10" s="17"/>
      <c r="L10" s="17"/>
    </row>
    <row r="11" spans="1:21">
      <c r="A11" s="17"/>
      <c r="B11" s="18"/>
      <c r="C11" s="43" t="str">
        <f ca="1">IF(Tabel2[[#This Row],[Invulling oke]],"","(*)")</f>
        <v/>
      </c>
      <c r="D11" s="30" t="s">
        <v>13</v>
      </c>
      <c r="E11" s="31"/>
      <c r="F11" s="32"/>
      <c r="G11" s="33"/>
      <c r="H11" s="32"/>
      <c r="I11" s="34" t="str">
        <f ca="1">IF(Tabel2[[#This Row],[Toetsrente tonen]],Tabel2[[#This Row],[Toetsrente]],"")</f>
        <v/>
      </c>
      <c r="J11" s="18"/>
      <c r="K11" s="17"/>
      <c r="L11" s="17"/>
    </row>
    <row r="12" spans="1:21">
      <c r="A12" s="17"/>
      <c r="B12" s="18"/>
      <c r="C12" s="43" t="str">
        <f ca="1">IF(Tabel2[[#This Row],[Invulling oke]],"","(*)")</f>
        <v/>
      </c>
      <c r="D12" s="30" t="s">
        <v>14</v>
      </c>
      <c r="E12" s="31"/>
      <c r="F12" s="32"/>
      <c r="G12" s="33"/>
      <c r="H12" s="32"/>
      <c r="I12" s="34" t="str">
        <f ca="1">IF(Tabel2[[#This Row],[Toetsrente tonen]],Tabel2[[#This Row],[Toetsrente]],"")</f>
        <v/>
      </c>
      <c r="J12" s="18"/>
      <c r="K12" s="17"/>
      <c r="L12" s="17"/>
    </row>
    <row r="13" spans="1:21">
      <c r="A13" s="17"/>
      <c r="B13" s="18"/>
      <c r="C13" s="43" t="str">
        <f ca="1">IF(Tabel2[[#This Row],[Invulling oke]],"","(*)")</f>
        <v/>
      </c>
      <c r="D13" s="30" t="s">
        <v>15</v>
      </c>
      <c r="E13" s="31"/>
      <c r="F13" s="32"/>
      <c r="G13" s="33"/>
      <c r="H13" s="32"/>
      <c r="I13" s="34" t="str">
        <f ca="1">IF(Tabel2[[#This Row],[Toetsrente tonen]],Tabel2[[#This Row],[Toetsrente]],"")</f>
        <v/>
      </c>
      <c r="J13" s="18"/>
      <c r="K13" s="17"/>
      <c r="L13" s="17"/>
    </row>
    <row r="14" spans="1:21">
      <c r="A14" s="17"/>
      <c r="B14" s="18"/>
      <c r="C14" s="44" t="str">
        <f ca="1">IF(AlleLeningdelenOK,"","(*) Maak de gegevens van het leningdeel compleet.")</f>
        <v/>
      </c>
      <c r="D14" s="28"/>
      <c r="E14" s="18"/>
      <c r="F14" s="29"/>
      <c r="G14" s="29"/>
      <c r="H14" s="29"/>
      <c r="I14" s="18"/>
      <c r="J14" s="18"/>
      <c r="K14" s="17"/>
      <c r="L14" s="17"/>
    </row>
    <row r="15" spans="1:21" ht="26.1">
      <c r="A15" s="17"/>
      <c r="B15" s="18"/>
      <c r="C15" s="28"/>
      <c r="D15" s="28"/>
      <c r="E15" s="24" t="s">
        <v>16</v>
      </c>
      <c r="F15" s="41"/>
      <c r="G15" s="37"/>
      <c r="H15" s="29"/>
      <c r="I15" s="23" t="s">
        <v>17</v>
      </c>
      <c r="J15" s="18"/>
      <c r="K15" s="17"/>
      <c r="L15" s="17"/>
    </row>
    <row r="16" spans="1:21" ht="4.5" customHeight="1">
      <c r="A16" s="17"/>
      <c r="B16" s="18"/>
      <c r="C16" s="28"/>
      <c r="D16" s="28"/>
      <c r="E16" s="18"/>
      <c r="F16" s="29"/>
      <c r="G16" s="29"/>
      <c r="H16" s="29"/>
      <c r="I16" s="18"/>
      <c r="J16" s="18"/>
      <c r="K16" s="17"/>
      <c r="L16" s="17"/>
    </row>
    <row r="17" spans="1:21">
      <c r="A17" s="17"/>
      <c r="B17" s="18"/>
      <c r="C17" s="28"/>
      <c r="D17" s="28"/>
      <c r="E17" s="53" t="str">
        <f ca="1">IF(TotaleLeningTonen,TotaleLening,"")</f>
        <v/>
      </c>
      <c r="F17" s="29"/>
      <c r="G17" s="29"/>
      <c r="H17" s="29"/>
      <c r="I17" s="51" t="str">
        <f ca="1">IF(ToetsrenteTonen,Toetsrente,"")</f>
        <v/>
      </c>
      <c r="J17" s="18"/>
      <c r="K17" s="17"/>
      <c r="L17" s="17"/>
    </row>
    <row r="18" spans="1:21">
      <c r="A18" s="17"/>
      <c r="B18" s="18"/>
      <c r="C18" s="28"/>
      <c r="D18" s="28"/>
      <c r="E18" s="54"/>
      <c r="F18" s="29"/>
      <c r="G18" s="29"/>
      <c r="H18" s="29"/>
      <c r="I18" s="52"/>
      <c r="J18" s="18"/>
      <c r="K18" s="17"/>
      <c r="L18" s="17"/>
    </row>
    <row r="19" spans="1:21">
      <c r="A19" s="17"/>
      <c r="B19" s="18"/>
      <c r="C19" s="28"/>
      <c r="D19" s="28"/>
      <c r="E19" s="18"/>
      <c r="F19" s="29"/>
      <c r="G19" s="29"/>
      <c r="H19" s="29"/>
      <c r="I19" s="18"/>
      <c r="J19" s="18"/>
      <c r="K19" s="17"/>
      <c r="L19" s="17"/>
    </row>
    <row r="20" spans="1:21" ht="111.75" customHeight="1">
      <c r="A20" s="17"/>
      <c r="B20" s="18"/>
      <c r="C20" s="56" t="str">
        <f ca="1">Meldingen</f>
        <v/>
      </c>
      <c r="D20" s="56"/>
      <c r="E20" s="56"/>
      <c r="F20" s="56"/>
      <c r="G20" s="56"/>
      <c r="H20" s="56"/>
      <c r="I20" s="56"/>
      <c r="J20" s="18"/>
      <c r="K20" s="17"/>
      <c r="L20" s="17"/>
      <c r="U20" s="17"/>
    </row>
    <row r="21" spans="1:21">
      <c r="A21" s="17"/>
      <c r="B21" s="18"/>
      <c r="C21" s="45" t="s">
        <v>18</v>
      </c>
      <c r="D21" s="35"/>
      <c r="E21" s="18"/>
      <c r="F21" s="18"/>
      <c r="G21" s="36"/>
      <c r="H21" s="25"/>
      <c r="I21" s="25"/>
      <c r="J21" s="18"/>
      <c r="K21" s="17"/>
      <c r="L21" s="17"/>
      <c r="U21" s="17"/>
    </row>
    <row r="22" spans="1:21" ht="4.5" customHeight="1">
      <c r="A22" s="17"/>
      <c r="B22" s="18"/>
      <c r="C22" s="18"/>
      <c r="D22" s="18"/>
      <c r="E22" s="18"/>
      <c r="F22" s="18"/>
      <c r="G22" s="18"/>
      <c r="H22" s="18"/>
      <c r="I22" s="18"/>
      <c r="J22" s="18"/>
      <c r="K22" s="17"/>
      <c r="L22" s="17"/>
    </row>
  </sheetData>
  <sheetProtection algorithmName="SHA-512" hashValue="UGxtSujTVCFs+N0MertkRED7bpepG4gb/k3TEYg/juYJy/6LHF58OcDbomo4WxYK5gehqD6vJqrekZza4DjeSg==" saltValue="JVubAlB1W27e5PqMJrPyVQ==" spinCount="100000" sheet="1"/>
  <customSheetViews>
    <customSheetView guid="{14D89E1E-FF60-4AD6-979E-2920D45410EF}" showRowCol="0" hiddenRows="1" hiddenColumns="1" showRuler="0">
      <selection activeCell="G11" sqref="G11"/>
      <pageMargins left="0" right="0" top="0" bottom="0" header="0" footer="0"/>
      <pageSetup paperSize="9" orientation="landscape" r:id="rId1"/>
      <headerFooter alignWithMargins="0"/>
    </customSheetView>
  </customSheetViews>
  <mergeCells count="5">
    <mergeCell ref="I5:I6"/>
    <mergeCell ref="I17:I18"/>
    <mergeCell ref="E17:E18"/>
    <mergeCell ref="F3:G3"/>
    <mergeCell ref="C20:I20"/>
  </mergeCells>
  <phoneticPr fontId="2" type="noConversion"/>
  <conditionalFormatting sqref="C20">
    <cfRule type="cellIs" dxfId="33" priority="23" stopIfTrue="1" operator="notEqual">
      <formula>""</formula>
    </cfRule>
  </conditionalFormatting>
  <dataValidations count="1">
    <dataValidation operator="greaterThanOrEqual" allowBlank="1" showInputMessage="1" showErrorMessage="1" sqref="F5" xr:uid="{2A9A50E0-6351-468C-B61F-562155FA8B37}"/>
  </dataValidations>
  <pageMargins left="0" right="0.74803149606299213" top="0.98425196850393704" bottom="0.98425196850393704" header="0.51181102362204722" footer="0.51181102362204722"/>
  <pageSetup paperSize="9" scale="92" orientation="landscape" r:id="rId2"/>
  <headerFooter alignWithMargins="0"/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B2AD6-C776-4A2D-81FE-4E335FCFB9B9}">
  <dimension ref="A1:B4"/>
  <sheetViews>
    <sheetView workbookViewId="0">
      <selection activeCell="B2" sqref="B2"/>
    </sheetView>
  </sheetViews>
  <sheetFormatPr defaultRowHeight="12.6"/>
  <cols>
    <col min="1" max="1" width="22" customWidth="1"/>
    <col min="2" max="2" width="10.140625" bestFit="1" customWidth="1"/>
  </cols>
  <sheetData>
    <row r="1" spans="1:2">
      <c r="A1" s="6" t="s">
        <v>19</v>
      </c>
      <c r="B1" s="7">
        <v>39173</v>
      </c>
    </row>
    <row r="2" spans="1:2">
      <c r="A2" s="6" t="s">
        <v>20</v>
      </c>
      <c r="B2" s="7">
        <v>47849</v>
      </c>
    </row>
    <row r="4" spans="1:2">
      <c r="A4" s="6" t="s">
        <v>21</v>
      </c>
      <c r="B4">
        <v>120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10135-F5E7-4492-8A3E-85A13A8BC886}">
  <dimension ref="A1:E27"/>
  <sheetViews>
    <sheetView workbookViewId="0">
      <selection activeCell="A100" sqref="A100:B100"/>
    </sheetView>
  </sheetViews>
  <sheetFormatPr defaultRowHeight="12.6"/>
  <cols>
    <col min="1" max="1" width="18.28515625" customWidth="1"/>
    <col min="2" max="2" width="12.85546875" customWidth="1"/>
  </cols>
  <sheetData>
    <row r="1" spans="1:5" ht="12.95">
      <c r="A1" s="4" t="s">
        <v>22</v>
      </c>
      <c r="B1" s="9" t="s">
        <v>23</v>
      </c>
    </row>
    <row r="2" spans="1:5" ht="12.95">
      <c r="A2" s="8">
        <v>39173</v>
      </c>
      <c r="B2" s="10">
        <v>4.9000000000000002E-2</v>
      </c>
    </row>
    <row r="3" spans="1:5" ht="12.95">
      <c r="A3" s="8">
        <v>39264</v>
      </c>
      <c r="B3" s="10">
        <v>5.2999999999999999E-2</v>
      </c>
    </row>
    <row r="4" spans="1:5" ht="12.95">
      <c r="A4" s="8">
        <v>39356</v>
      </c>
      <c r="B4" s="10">
        <v>5.2999999999999999E-2</v>
      </c>
    </row>
    <row r="5" spans="1:5" ht="12.95">
      <c r="A5" s="8">
        <v>39448</v>
      </c>
      <c r="B5" s="10">
        <v>5.2999999999999999E-2</v>
      </c>
      <c r="D5" s="7"/>
      <c r="E5" s="11"/>
    </row>
    <row r="6" spans="1:5" ht="12.95">
      <c r="A6" s="8">
        <v>39539</v>
      </c>
      <c r="B6" s="10">
        <v>5.2999999999999999E-2</v>
      </c>
    </row>
    <row r="7" spans="1:5" ht="12.95">
      <c r="A7" s="8">
        <v>39630</v>
      </c>
      <c r="B7" s="10">
        <v>5.6000000000000001E-2</v>
      </c>
    </row>
    <row r="8" spans="1:5" ht="12.95">
      <c r="A8" s="8">
        <v>39722</v>
      </c>
      <c r="B8" s="10">
        <v>5.6000000000000001E-2</v>
      </c>
    </row>
    <row r="9" spans="1:5" ht="12.95">
      <c r="A9" s="8">
        <v>39814</v>
      </c>
      <c r="B9" s="10">
        <v>5.6000000000000001E-2</v>
      </c>
    </row>
    <row r="10" spans="1:5" ht="12.95">
      <c r="A10" s="8">
        <v>39904</v>
      </c>
      <c r="B10" s="10">
        <v>5.6000000000000001E-2</v>
      </c>
    </row>
    <row r="11" spans="1:5" ht="12.95">
      <c r="A11" s="8">
        <v>39995</v>
      </c>
      <c r="B11" s="10">
        <v>5.8000000000000003E-2</v>
      </c>
    </row>
    <row r="12" spans="1:5" ht="12.95">
      <c r="A12" s="8">
        <v>40087</v>
      </c>
      <c r="B12" s="10">
        <v>5.8000000000000003E-2</v>
      </c>
    </row>
    <row r="13" spans="1:5" ht="12.95">
      <c r="A13" s="8">
        <v>40179</v>
      </c>
      <c r="B13" s="10">
        <v>5.8000000000000003E-2</v>
      </c>
    </row>
    <row r="14" spans="1:5" ht="12.95">
      <c r="A14" s="8">
        <v>40269</v>
      </c>
      <c r="B14" s="10">
        <v>5.8000000000000003E-2</v>
      </c>
    </row>
    <row r="15" spans="1:5" ht="12.95">
      <c r="A15" s="8">
        <v>40360</v>
      </c>
      <c r="B15" s="10">
        <v>5.3999999999999999E-2</v>
      </c>
    </row>
    <row r="16" spans="1:5" ht="12.95">
      <c r="A16" s="8">
        <v>40452</v>
      </c>
      <c r="B16" s="10">
        <v>4.9000000000000002E-2</v>
      </c>
    </row>
    <row r="17" spans="1:2" ht="12.95">
      <c r="A17" s="8">
        <v>40544</v>
      </c>
      <c r="B17" s="10">
        <v>5.1999999999999998E-2</v>
      </c>
    </row>
    <row r="18" spans="1:2" ht="12.95">
      <c r="A18" s="8">
        <v>40634</v>
      </c>
      <c r="B18" s="10">
        <v>5.8000000000000003E-2</v>
      </c>
    </row>
    <row r="19" spans="1:2" ht="12.95">
      <c r="A19" s="8">
        <v>40725</v>
      </c>
      <c r="B19" s="10">
        <v>5.7000000000000002E-2</v>
      </c>
    </row>
    <row r="20" spans="1:2" ht="12.95">
      <c r="A20" s="8">
        <v>40817</v>
      </c>
      <c r="B20" s="10">
        <v>5.3999999999999999E-2</v>
      </c>
    </row>
    <row r="21" spans="1:2" ht="12.95">
      <c r="A21" s="8">
        <v>40909</v>
      </c>
      <c r="B21" s="10">
        <v>5.6000000000000001E-2</v>
      </c>
    </row>
    <row r="22" spans="1:2" ht="12.95">
      <c r="A22" s="8">
        <v>41000</v>
      </c>
      <c r="B22" s="10">
        <v>5.6000000000000001E-2</v>
      </c>
    </row>
    <row r="23" spans="1:2" ht="12.95">
      <c r="A23" s="8">
        <v>41091</v>
      </c>
      <c r="B23" s="10">
        <v>5.3999999999999999E-2</v>
      </c>
    </row>
    <row r="24" spans="1:2" ht="12.95">
      <c r="A24" s="8">
        <v>41183</v>
      </c>
      <c r="B24" s="10">
        <v>5.3999999999999999E-2</v>
      </c>
    </row>
    <row r="25" spans="1:2" ht="12.95">
      <c r="A25" s="8">
        <v>41275</v>
      </c>
      <c r="B25" s="10">
        <v>5.2999999999999999E-2</v>
      </c>
    </row>
    <row r="26" spans="1:2" ht="12.95">
      <c r="A26" s="8">
        <v>41365</v>
      </c>
      <c r="B26" s="10">
        <v>5.2999999999999999E-2</v>
      </c>
    </row>
    <row r="27" spans="1:2" ht="12.95">
      <c r="A27" s="8">
        <v>41456</v>
      </c>
      <c r="B27" s="10">
        <v>0.05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6ED80-55E2-486D-B096-3FEF6806E066}">
  <dimension ref="A1:Y36"/>
  <sheetViews>
    <sheetView workbookViewId="0">
      <selection activeCell="B29" sqref="B29"/>
    </sheetView>
  </sheetViews>
  <sheetFormatPr defaultRowHeight="12.6"/>
  <cols>
    <col min="1" max="1" width="13" customWidth="1"/>
    <col min="2" max="2" width="14.5703125" customWidth="1"/>
    <col min="3" max="23" width="15" customWidth="1"/>
    <col min="24" max="24" width="25.140625" customWidth="1"/>
    <col min="25" max="25" width="34.28515625" customWidth="1"/>
  </cols>
  <sheetData>
    <row r="1" spans="1:25">
      <c r="B1" t="s">
        <v>24</v>
      </c>
      <c r="C1" t="b">
        <f ca="1">NOT(AND(ISNUMBER(Offertedatum),Offertedatum&gt;0))</f>
        <v>0</v>
      </c>
    </row>
    <row r="2" spans="1:25">
      <c r="B2" t="s">
        <v>25</v>
      </c>
      <c r="C2" t="b">
        <f ca="1">AND(NOT(OffertedatumOngeldig),Offertedatum&lt;BegindatumGeldigheid)</f>
        <v>0</v>
      </c>
    </row>
    <row r="3" spans="1:25">
      <c r="B3" t="s">
        <v>26</v>
      </c>
      <c r="C3" t="b">
        <f ca="1">AND(NOT(OffertedatumOngeldig),Offertedatum&gt;=EinddatumGeldigheid)</f>
        <v>0</v>
      </c>
    </row>
    <row r="5" spans="1:25">
      <c r="B5" t="s">
        <v>27</v>
      </c>
      <c r="C5" t="b">
        <f ca="1">AND(NOT(OffertedatumOngeldig),NOT(OffertedatumTeVroeg))</f>
        <v>1</v>
      </c>
      <c r="D5" t="s">
        <v>28</v>
      </c>
    </row>
    <row r="6" spans="1:25">
      <c r="D6" t="s">
        <v>29</v>
      </c>
    </row>
    <row r="8" spans="1:25">
      <c r="A8" s="6" t="s">
        <v>30</v>
      </c>
      <c r="B8" s="6" t="s">
        <v>5</v>
      </c>
      <c r="C8" s="6" t="s">
        <v>31</v>
      </c>
      <c r="D8" s="6" t="s">
        <v>32</v>
      </c>
      <c r="E8" s="6" t="s">
        <v>33</v>
      </c>
      <c r="F8" s="6" t="s">
        <v>34</v>
      </c>
      <c r="G8" s="6" t="s">
        <v>35</v>
      </c>
      <c r="H8" s="6" t="s">
        <v>36</v>
      </c>
      <c r="I8" s="6" t="s">
        <v>10</v>
      </c>
      <c r="J8" s="6" t="s">
        <v>37</v>
      </c>
      <c r="K8" s="6" t="s">
        <v>38</v>
      </c>
      <c r="L8" s="6" t="s">
        <v>39</v>
      </c>
      <c r="M8" s="6" t="s">
        <v>40</v>
      </c>
      <c r="N8" s="6" t="s">
        <v>41</v>
      </c>
      <c r="O8" s="6" t="s">
        <v>42</v>
      </c>
      <c r="P8" s="6" t="s">
        <v>43</v>
      </c>
      <c r="Q8" s="6" t="s">
        <v>44</v>
      </c>
      <c r="R8" s="6" t="s">
        <v>45</v>
      </c>
      <c r="S8" s="6" t="s">
        <v>46</v>
      </c>
      <c r="T8" s="6" t="s">
        <v>47</v>
      </c>
      <c r="U8" s="6" t="s">
        <v>48</v>
      </c>
      <c r="V8" s="6" t="s">
        <v>49</v>
      </c>
      <c r="W8" s="6" t="s">
        <v>50</v>
      </c>
      <c r="X8" s="6" t="s">
        <v>51</v>
      </c>
      <c r="Y8" s="6" t="s">
        <v>52</v>
      </c>
    </row>
    <row r="9" spans="1:25">
      <c r="A9">
        <v>1</v>
      </c>
      <c r="B9" s="6" t="s">
        <v>11</v>
      </c>
      <c r="C9" s="14">
        <f ca="1">Tabel3[[#This Row],[Bedrag]]</f>
        <v>0</v>
      </c>
      <c r="D9">
        <f ca="1">Tabel3[[#This Row],[(Resterende) looptijd in maanden]]</f>
        <v>0</v>
      </c>
      <c r="E9" s="15">
        <f ca="1">Tabel3[[#This Row],[Nominale rente]]</f>
        <v>0</v>
      </c>
      <c r="F9" s="12">
        <f ca="1">Tabel3[[#This Row],[(Resterende) rentevastperiode in maanden]]</f>
        <v>0</v>
      </c>
      <c r="G9" s="12" t="b">
        <f ca="1">AND(Tabel2[[#This Row],[Rvp]]&lt;GrensRvp,Tabel2[[#This Row],[Rvp]]&lt;Tabel2[[#This Row],[Looptijd]])</f>
        <v>0</v>
      </c>
      <c r="H9" s="12">
        <f ca="1">MIN(360, Tabel2[[#This Row],[Looptijd]])</f>
        <v>0</v>
      </c>
      <c r="I9" s="13">
        <f ca="1">IF(AND(Tabel2[[#This Row],[Rvp]]&lt;GrensRvp,Tabel2[[#This Row],[Rvp]]&lt;Tabel2[[#This Row],[Looptijd]]),MAX(AfmToetsrente,Tabel2[[#This Row],[Rentepct]]),Tabel2[[#This Row],[Rentepct]])</f>
        <v>0</v>
      </c>
      <c r="J9" s="16">
        <f ca="1">Tabel2[[#This Row],[Hoofdsom]]*Tabel2[[#This Row],[Toetslooptijd]]</f>
        <v>0</v>
      </c>
      <c r="K9">
        <f ca="1">Tabel2[[#This Row],[Weegfactor]]*Tabel2[[#This Row],[Toetsrente]]</f>
        <v>0</v>
      </c>
      <c r="L9" t="b">
        <f ca="1">Tabel3[[#This Row],[Bedrag]]=""</f>
        <v>1</v>
      </c>
      <c r="M9" t="b">
        <f ca="1">Tabel3[[#This Row],[(Resterende) looptijd in maanden]]=""</f>
        <v>1</v>
      </c>
      <c r="N9" t="b">
        <f ca="1">Tabel3[[#This Row],[Nominale rente]]=""</f>
        <v>1</v>
      </c>
      <c r="O9" t="b">
        <f ca="1">Tabel3[[#This Row],[(Resterende) rentevastperiode in maanden]]=""</f>
        <v>1</v>
      </c>
      <c r="P9" t="b">
        <f ca="1">AND(ISNUMBER(Tabel2[[#This Row],[Hoofdsom]]),Tabel2[[#This Row],[Hoofdsom]]&gt;0)</f>
        <v>0</v>
      </c>
      <c r="Q9" t="b">
        <f ca="1">AND(ISNUMBER(Tabel2[[#This Row],[Looptijd]]),Tabel2[[#This Row],[Looptijd]]&gt;0)</f>
        <v>0</v>
      </c>
      <c r="R9" t="b">
        <f ca="1">AND(NOT(Tabel2[[#This Row],[Rentepct leeg]]),ISNUMBER(Tabel2[[#This Row],[Rentepct]]))</f>
        <v>0</v>
      </c>
      <c r="S9" t="b">
        <f ca="1">AND(ISNUMBER(Tabel2[[#This Row],[Rvp]]),Tabel2[[#This Row],[Rvp]]&gt;0)</f>
        <v>0</v>
      </c>
      <c r="T9" t="b">
        <f ca="1">AND(Tabel2[[#This Row],[Hoofdsom leeg]:[Rvp leeg]])</f>
        <v>1</v>
      </c>
      <c r="U9" t="b">
        <f ca="1">AND(Tabel2[[#This Row],[Hoofdsom correct]:[Rvp correct]])</f>
        <v>0</v>
      </c>
      <c r="V9" t="b">
        <f ca="1">OR(Tabel2[[#This Row],[Er is niets ingevuld]],Tabel2[[#This Row],[Alles is correct ingevuld]])</f>
        <v>1</v>
      </c>
      <c r="W9" t="b">
        <f ca="1">AND(OffertedatumOK,Tabel2[[#This Row],[Alles is correct ingevuld]])</f>
        <v>0</v>
      </c>
      <c r="X9" t="str">
        <f ca="1">IF(AND(Tabel2[[#This Row],[Looptijd correct]],Tabel2[[#This Row],[Looptijd]]&gt;360),"De looptijd van leningdeel "&amp;Tabel2[[#This Row],[Index]]&amp;" is langer dan 360 maanden. Er wordt gerekend met een looptijd van 360 maanden.","")</f>
        <v/>
      </c>
      <c r="Y9" t="str">
        <f ca="1">IF(AND(Tabel2[[#This Row],[Looptijd correct]],Tabel2[[#This Row],[Rvp correct]],Tabel2[[#This Row],[Looptijd]]&gt;0,Tabel2[[#This Row],[Rvp]]&gt;Tabel2[[#This Row],[Looptijd]]),"De (resterende) rentevastperiode van leningdeel "&amp;Tabel2[[#This Row],[Index]]&amp;" is langer dan de (resterende) looptijd.","")</f>
        <v/>
      </c>
    </row>
    <row r="10" spans="1:25">
      <c r="A10">
        <v>2</v>
      </c>
      <c r="B10" s="6" t="s">
        <v>12</v>
      </c>
      <c r="C10" s="14">
        <f ca="1">Tabel3[[#This Row],[Bedrag]]</f>
        <v>0</v>
      </c>
      <c r="D10">
        <f ca="1">Tabel3[[#This Row],[(Resterende) looptijd in maanden]]</f>
        <v>0</v>
      </c>
      <c r="E10" s="15">
        <f ca="1">Tabel3[[#This Row],[Nominale rente]]</f>
        <v>0</v>
      </c>
      <c r="F10" s="12">
        <f ca="1">Tabel3[[#This Row],[(Resterende) rentevastperiode in maanden]]</f>
        <v>0</v>
      </c>
      <c r="G10" s="12" t="b">
        <f ca="1">AND(Tabel2[[#This Row],[Rvp]]&lt;GrensRvp,Tabel2[[#This Row],[Rvp]]&lt;Tabel2[[#This Row],[Looptijd]])</f>
        <v>0</v>
      </c>
      <c r="H10" s="12">
        <f ca="1">MIN(360, Tabel2[[#This Row],[Looptijd]])</f>
        <v>0</v>
      </c>
      <c r="I10" s="13">
        <f ca="1">IF(AND(Tabel2[[#This Row],[Rvp]]&lt;GrensRvp,Tabel2[[#This Row],[Rvp]]&lt;Tabel2[[#This Row],[Looptijd]]),MAX(AfmToetsrente,Tabel2[[#This Row],[Rentepct]]),Tabel2[[#This Row],[Rentepct]])</f>
        <v>0</v>
      </c>
      <c r="J10" s="16">
        <f ca="1">Tabel2[[#This Row],[Hoofdsom]]*Tabel2[[#This Row],[Toetslooptijd]]</f>
        <v>0</v>
      </c>
      <c r="K10">
        <f ca="1">Tabel2[[#This Row],[Weegfactor]]*Tabel2[[#This Row],[Toetsrente]]</f>
        <v>0</v>
      </c>
      <c r="L10" t="b">
        <f ca="1">Tabel3[[#This Row],[Bedrag]]=""</f>
        <v>1</v>
      </c>
      <c r="M10" t="b">
        <f ca="1">Tabel3[[#This Row],[(Resterende) looptijd in maanden]]=""</f>
        <v>1</v>
      </c>
      <c r="N10" t="b">
        <f ca="1">Tabel3[[#This Row],[Nominale rente]]=""</f>
        <v>1</v>
      </c>
      <c r="O10" t="b">
        <f ca="1">Tabel3[[#This Row],[(Resterende) rentevastperiode in maanden]]=""</f>
        <v>1</v>
      </c>
      <c r="P10" t="b">
        <f ca="1">AND(ISNUMBER(Tabel2[[#This Row],[Hoofdsom]]),Tabel2[[#This Row],[Hoofdsom]]&gt;0)</f>
        <v>0</v>
      </c>
      <c r="Q10" t="b">
        <f ca="1">AND(ISNUMBER(Tabel2[[#This Row],[Looptijd]]),Tabel2[[#This Row],[Looptijd]]&gt;0)</f>
        <v>0</v>
      </c>
      <c r="R10" t="b">
        <f ca="1">AND(NOT(Tabel2[[#This Row],[Rentepct leeg]]),ISNUMBER(Tabel2[[#This Row],[Rentepct]]))</f>
        <v>0</v>
      </c>
      <c r="S10" t="b">
        <f ca="1">AND(ISNUMBER(Tabel2[[#This Row],[Rvp]]),Tabel2[[#This Row],[Rvp]]&gt;0)</f>
        <v>0</v>
      </c>
      <c r="T10" t="b">
        <f ca="1">AND(Tabel2[[#This Row],[Hoofdsom leeg]:[Rvp leeg]])</f>
        <v>1</v>
      </c>
      <c r="U10" t="b">
        <f ca="1">AND(Tabel2[[#This Row],[Hoofdsom correct]:[Rvp correct]])</f>
        <v>0</v>
      </c>
      <c r="V10" t="b">
        <f ca="1">OR(Tabel2[[#This Row],[Er is niets ingevuld]],Tabel2[[#This Row],[Alles is correct ingevuld]])</f>
        <v>1</v>
      </c>
      <c r="W10" t="b">
        <f ca="1">AND(OffertedatumOK,Tabel2[[#This Row],[Alles is correct ingevuld]])</f>
        <v>0</v>
      </c>
      <c r="X10" t="str">
        <f ca="1">IF(AND(Tabel2[[#This Row],[Looptijd correct]],Tabel2[[#This Row],[Looptijd]]&gt;360),"De looptijd van leningdeel "&amp;Tabel2[[#This Row],[Index]]&amp;" is langer dan 360 maanden. Er wordt gerekend met een looptijd van 360 maanden.","")</f>
        <v/>
      </c>
      <c r="Y10" t="str">
        <f ca="1">IF(AND(Tabel2[[#This Row],[Looptijd correct]],Tabel2[[#This Row],[Rvp correct]],Tabel2[[#This Row],[Looptijd]]&gt;0,Tabel2[[#This Row],[Rvp]]&gt;Tabel2[[#This Row],[Looptijd]]),"De (resterende) rentevastperiode van leningdeel "&amp;Tabel2[[#This Row],[Index]]&amp;" is langer dan de (resterende) looptijd.","")</f>
        <v/>
      </c>
    </row>
    <row r="11" spans="1:25">
      <c r="A11">
        <v>3</v>
      </c>
      <c r="B11" s="6" t="s">
        <v>13</v>
      </c>
      <c r="C11" s="14">
        <f ca="1">Tabel3[[#This Row],[Bedrag]]</f>
        <v>0</v>
      </c>
      <c r="D11">
        <f ca="1">Tabel3[[#This Row],[(Resterende) looptijd in maanden]]</f>
        <v>0</v>
      </c>
      <c r="E11" s="15">
        <f ca="1">Tabel3[[#This Row],[Nominale rente]]</f>
        <v>0</v>
      </c>
      <c r="F11" s="12">
        <f ca="1">Tabel3[[#This Row],[(Resterende) rentevastperiode in maanden]]</f>
        <v>0</v>
      </c>
      <c r="G11" s="12" t="b">
        <f ca="1">AND(Tabel2[[#This Row],[Rvp]]&lt;GrensRvp,Tabel2[[#This Row],[Rvp]]&lt;Tabel2[[#This Row],[Looptijd]])</f>
        <v>0</v>
      </c>
      <c r="H11" s="12">
        <f ca="1">MIN(360, Tabel2[[#This Row],[Looptijd]])</f>
        <v>0</v>
      </c>
      <c r="I11" s="13">
        <f ca="1">IF(AND(Tabel2[[#This Row],[Rvp]]&lt;GrensRvp,Tabel2[[#This Row],[Rvp]]&lt;Tabel2[[#This Row],[Looptijd]]),MAX(AfmToetsrente,Tabel2[[#This Row],[Rentepct]]),Tabel2[[#This Row],[Rentepct]])</f>
        <v>0</v>
      </c>
      <c r="J11" s="16">
        <f ca="1">Tabel2[[#This Row],[Hoofdsom]]*Tabel2[[#This Row],[Toetslooptijd]]</f>
        <v>0</v>
      </c>
      <c r="K11">
        <f ca="1">Tabel2[[#This Row],[Weegfactor]]*Tabel2[[#This Row],[Toetsrente]]</f>
        <v>0</v>
      </c>
      <c r="L11" t="b">
        <f ca="1">Tabel3[[#This Row],[Bedrag]]=""</f>
        <v>1</v>
      </c>
      <c r="M11" t="b">
        <f ca="1">Tabel3[[#This Row],[(Resterende) looptijd in maanden]]=""</f>
        <v>1</v>
      </c>
      <c r="N11" t="b">
        <f ca="1">Tabel3[[#This Row],[Nominale rente]]=""</f>
        <v>1</v>
      </c>
      <c r="O11" t="b">
        <f ca="1">Tabel3[[#This Row],[(Resterende) rentevastperiode in maanden]]=""</f>
        <v>1</v>
      </c>
      <c r="P11" t="b">
        <f ca="1">AND(ISNUMBER(Tabel2[[#This Row],[Hoofdsom]]),Tabel2[[#This Row],[Hoofdsom]]&gt;0)</f>
        <v>0</v>
      </c>
      <c r="Q11" t="b">
        <f ca="1">AND(ISNUMBER(Tabel2[[#This Row],[Looptijd]]),Tabel2[[#This Row],[Looptijd]]&gt;0)</f>
        <v>0</v>
      </c>
      <c r="R11" t="b">
        <f ca="1">AND(NOT(Tabel2[[#This Row],[Rentepct leeg]]),ISNUMBER(Tabel2[[#This Row],[Rentepct]]))</f>
        <v>0</v>
      </c>
      <c r="S11" t="b">
        <f ca="1">AND(ISNUMBER(Tabel2[[#This Row],[Rvp]]),Tabel2[[#This Row],[Rvp]]&gt;0)</f>
        <v>0</v>
      </c>
      <c r="T11" t="b">
        <f ca="1">AND(Tabel2[[#This Row],[Hoofdsom leeg]:[Rvp leeg]])</f>
        <v>1</v>
      </c>
      <c r="U11" t="b">
        <f ca="1">AND(Tabel2[[#This Row],[Hoofdsom correct]:[Rvp correct]])</f>
        <v>0</v>
      </c>
      <c r="V11" t="b">
        <f ca="1">OR(Tabel2[[#This Row],[Er is niets ingevuld]],Tabel2[[#This Row],[Alles is correct ingevuld]])</f>
        <v>1</v>
      </c>
      <c r="W11" t="b">
        <f ca="1">AND(OffertedatumOK,Tabel2[[#This Row],[Alles is correct ingevuld]])</f>
        <v>0</v>
      </c>
      <c r="X11" t="str">
        <f ca="1">IF(AND(Tabel2[[#This Row],[Looptijd correct]],Tabel2[[#This Row],[Looptijd]]&gt;360),"De looptijd van leningdeel "&amp;Tabel2[[#This Row],[Index]]&amp;" is langer dan 360 maanden. Er wordt gerekend met een looptijd van 360 maanden.","")</f>
        <v/>
      </c>
      <c r="Y11" t="str">
        <f ca="1">IF(AND(Tabel2[[#This Row],[Looptijd correct]],Tabel2[[#This Row],[Rvp correct]],Tabel2[[#This Row],[Looptijd]]&gt;0,Tabel2[[#This Row],[Rvp]]&gt;Tabel2[[#This Row],[Looptijd]]),"De (resterende) rentevastperiode van leningdeel "&amp;Tabel2[[#This Row],[Index]]&amp;" is langer dan de (resterende) looptijd.","")</f>
        <v/>
      </c>
    </row>
    <row r="12" spans="1:25">
      <c r="A12">
        <v>4</v>
      </c>
      <c r="B12" s="6" t="s">
        <v>14</v>
      </c>
      <c r="C12" s="14">
        <f ca="1">Tabel3[[#This Row],[Bedrag]]</f>
        <v>0</v>
      </c>
      <c r="D12">
        <f ca="1">Tabel3[[#This Row],[(Resterende) looptijd in maanden]]</f>
        <v>0</v>
      </c>
      <c r="E12" s="15">
        <f ca="1">Tabel3[[#This Row],[Nominale rente]]</f>
        <v>0</v>
      </c>
      <c r="F12" s="12">
        <f ca="1">Tabel3[[#This Row],[(Resterende) rentevastperiode in maanden]]</f>
        <v>0</v>
      </c>
      <c r="G12" s="12" t="b">
        <f ca="1">AND(Tabel2[[#This Row],[Rvp]]&lt;GrensRvp,Tabel2[[#This Row],[Rvp]]&lt;Tabel2[[#This Row],[Looptijd]])</f>
        <v>0</v>
      </c>
      <c r="H12" s="12">
        <f ca="1">MIN(360, Tabel2[[#This Row],[Looptijd]])</f>
        <v>0</v>
      </c>
      <c r="I12" s="13">
        <f ca="1">IF(AND(Tabel2[[#This Row],[Rvp]]&lt;GrensRvp,Tabel2[[#This Row],[Rvp]]&lt;Tabel2[[#This Row],[Looptijd]]),MAX(AfmToetsrente,Tabel2[[#This Row],[Rentepct]]),Tabel2[[#This Row],[Rentepct]])</f>
        <v>0</v>
      </c>
      <c r="J12" s="16">
        <f ca="1">Tabel2[[#This Row],[Hoofdsom]]*Tabel2[[#This Row],[Toetslooptijd]]</f>
        <v>0</v>
      </c>
      <c r="K12">
        <f ca="1">Tabel2[[#This Row],[Weegfactor]]*Tabel2[[#This Row],[Toetsrente]]</f>
        <v>0</v>
      </c>
      <c r="L12" t="b">
        <f ca="1">Tabel3[[#This Row],[Bedrag]]=""</f>
        <v>1</v>
      </c>
      <c r="M12" t="b">
        <f ca="1">Tabel3[[#This Row],[(Resterende) looptijd in maanden]]=""</f>
        <v>1</v>
      </c>
      <c r="N12" t="b">
        <f ca="1">Tabel3[[#This Row],[Nominale rente]]=""</f>
        <v>1</v>
      </c>
      <c r="O12" t="b">
        <f ca="1">Tabel3[[#This Row],[(Resterende) rentevastperiode in maanden]]=""</f>
        <v>1</v>
      </c>
      <c r="P12" t="b">
        <f ca="1">AND(ISNUMBER(Tabel2[[#This Row],[Hoofdsom]]),Tabel2[[#This Row],[Hoofdsom]]&gt;0)</f>
        <v>0</v>
      </c>
      <c r="Q12" t="b">
        <f ca="1">AND(ISNUMBER(Tabel2[[#This Row],[Looptijd]]),Tabel2[[#This Row],[Looptijd]]&gt;0)</f>
        <v>0</v>
      </c>
      <c r="R12" t="b">
        <f ca="1">AND(NOT(Tabel2[[#This Row],[Rentepct leeg]]),ISNUMBER(Tabel2[[#This Row],[Rentepct]]))</f>
        <v>0</v>
      </c>
      <c r="S12" t="b">
        <f ca="1">AND(ISNUMBER(Tabel2[[#This Row],[Rvp]]),Tabel2[[#This Row],[Rvp]]&gt;0)</f>
        <v>0</v>
      </c>
      <c r="T12" t="b">
        <f ca="1">AND(Tabel2[[#This Row],[Hoofdsom leeg]:[Rvp leeg]])</f>
        <v>1</v>
      </c>
      <c r="U12" t="b">
        <f ca="1">AND(Tabel2[[#This Row],[Hoofdsom correct]:[Rvp correct]])</f>
        <v>0</v>
      </c>
      <c r="V12" t="b">
        <f ca="1">OR(Tabel2[[#This Row],[Er is niets ingevuld]],Tabel2[[#This Row],[Alles is correct ingevuld]])</f>
        <v>1</v>
      </c>
      <c r="W12" t="b">
        <f ca="1">AND(OffertedatumOK,Tabel2[[#This Row],[Alles is correct ingevuld]])</f>
        <v>0</v>
      </c>
      <c r="X12" t="str">
        <f ca="1">IF(AND(Tabel2[[#This Row],[Looptijd correct]],Tabel2[[#This Row],[Looptijd]]&gt;360),"De looptijd van leningdeel "&amp;Tabel2[[#This Row],[Index]]&amp;" is langer dan 360 maanden. Er wordt gerekend met een looptijd van 360 maanden.","")</f>
        <v/>
      </c>
      <c r="Y12" t="str">
        <f ca="1">IF(AND(Tabel2[[#This Row],[Looptijd correct]],Tabel2[[#This Row],[Rvp correct]],Tabel2[[#This Row],[Looptijd]]&gt;0,Tabel2[[#This Row],[Rvp]]&gt;Tabel2[[#This Row],[Looptijd]]),"De (resterende) rentevastperiode van leningdeel "&amp;Tabel2[[#This Row],[Index]]&amp;" is langer dan de (resterende) looptijd.","")</f>
        <v/>
      </c>
    </row>
    <row r="13" spans="1:25">
      <c r="A13">
        <v>5</v>
      </c>
      <c r="B13" s="6" t="s">
        <v>15</v>
      </c>
      <c r="C13" s="14">
        <f ca="1">Tabel3[[#This Row],[Bedrag]]</f>
        <v>0</v>
      </c>
      <c r="D13">
        <f ca="1">Tabel3[[#This Row],[(Resterende) looptijd in maanden]]</f>
        <v>0</v>
      </c>
      <c r="E13" s="15">
        <f ca="1">Tabel3[[#This Row],[Nominale rente]]</f>
        <v>0</v>
      </c>
      <c r="F13" s="12">
        <f ca="1">Tabel3[[#This Row],[(Resterende) rentevastperiode in maanden]]</f>
        <v>0</v>
      </c>
      <c r="G13" s="12" t="b">
        <f ca="1">AND(Tabel2[[#This Row],[Rvp]]&lt;GrensRvp,Tabel2[[#This Row],[Rvp]]&lt;Tabel2[[#This Row],[Looptijd]])</f>
        <v>0</v>
      </c>
      <c r="H13" s="12">
        <f ca="1">MIN(360, Tabel2[[#This Row],[Looptijd]])</f>
        <v>0</v>
      </c>
      <c r="I13" s="13">
        <f ca="1">IF(AND(Tabel2[[#This Row],[Rvp]]&lt;GrensRvp,Tabel2[[#This Row],[Rvp]]&lt;Tabel2[[#This Row],[Looptijd]]),MAX(AfmToetsrente,Tabel2[[#This Row],[Rentepct]]),Tabel2[[#This Row],[Rentepct]])</f>
        <v>0</v>
      </c>
      <c r="J13" s="16">
        <f ca="1">Tabel2[[#This Row],[Hoofdsom]]*Tabel2[[#This Row],[Toetslooptijd]]</f>
        <v>0</v>
      </c>
      <c r="K13">
        <f ca="1">Tabel2[[#This Row],[Weegfactor]]*Tabel2[[#This Row],[Toetsrente]]</f>
        <v>0</v>
      </c>
      <c r="L13" t="b">
        <f ca="1">Tabel3[[#This Row],[Bedrag]]=""</f>
        <v>1</v>
      </c>
      <c r="M13" t="b">
        <f ca="1">Tabel3[[#This Row],[(Resterende) looptijd in maanden]]=""</f>
        <v>1</v>
      </c>
      <c r="N13" t="b">
        <f ca="1">Tabel3[[#This Row],[Nominale rente]]=""</f>
        <v>1</v>
      </c>
      <c r="O13" t="b">
        <f ca="1">Tabel3[[#This Row],[(Resterende) rentevastperiode in maanden]]=""</f>
        <v>1</v>
      </c>
      <c r="P13" t="b">
        <f ca="1">AND(ISNUMBER(Tabel2[[#This Row],[Hoofdsom]]),Tabel2[[#This Row],[Hoofdsom]]&gt;0)</f>
        <v>0</v>
      </c>
      <c r="Q13" t="b">
        <f ca="1">AND(ISNUMBER(Tabel2[[#This Row],[Looptijd]]),Tabel2[[#This Row],[Looptijd]]&gt;0)</f>
        <v>0</v>
      </c>
      <c r="R13" t="b">
        <f ca="1">AND(NOT(Tabel2[[#This Row],[Rentepct leeg]]),ISNUMBER(Tabel2[[#This Row],[Rentepct]]))</f>
        <v>0</v>
      </c>
      <c r="S13" t="b">
        <f ca="1">AND(ISNUMBER(Tabel2[[#This Row],[Rvp]]),Tabel2[[#This Row],[Rvp]]&gt;0)</f>
        <v>0</v>
      </c>
      <c r="T13" t="b">
        <f ca="1">AND(Tabel2[[#This Row],[Hoofdsom leeg]:[Rvp leeg]])</f>
        <v>1</v>
      </c>
      <c r="U13" t="b">
        <f ca="1">AND(Tabel2[[#This Row],[Hoofdsom correct]:[Rvp correct]])</f>
        <v>0</v>
      </c>
      <c r="V13" t="b">
        <f ca="1">OR(Tabel2[[#This Row],[Er is niets ingevuld]],Tabel2[[#This Row],[Alles is correct ingevuld]])</f>
        <v>1</v>
      </c>
      <c r="W13" t="b">
        <f ca="1">AND(OffertedatumOK,Tabel2[[#This Row],[Alles is correct ingevuld]])</f>
        <v>0</v>
      </c>
      <c r="X13" t="str">
        <f ca="1">IF(AND(Tabel2[[#This Row],[Looptijd correct]],Tabel2[[#This Row],[Looptijd]]&gt;360),"De looptijd van leningdeel "&amp;Tabel2[[#This Row],[Index]]&amp;" is langer dan 360 maanden. Er wordt gerekend met een looptijd van 360 maanden.","")</f>
        <v/>
      </c>
      <c r="Y13" t="str">
        <f ca="1">IF(AND(Tabel2[[#This Row],[Looptijd correct]],Tabel2[[#This Row],[Rvp correct]],Tabel2[[#This Row],[Looptijd]]&gt;0,Tabel2[[#This Row],[Rvp]]&gt;Tabel2[[#This Row],[Looptijd]]),"De (resterende) rentevastperiode van leningdeel "&amp;Tabel2[[#This Row],[Index]]&amp;" is langer dan de (resterende) looptijd.","")</f>
        <v/>
      </c>
    </row>
    <row r="15" spans="1:25">
      <c r="B15" s="6" t="s">
        <v>53</v>
      </c>
      <c r="C15" s="16">
        <f ca="1">SUM(Tabel2[Hoofdsom])</f>
        <v>0</v>
      </c>
      <c r="I15" s="13" t="e">
        <f ca="1">K15/J15</f>
        <v>#DIV/0!</v>
      </c>
      <c r="J15">
        <f ca="1">SUM(Tabel2[Weegfactor])</f>
        <v>0</v>
      </c>
      <c r="K15">
        <f ca="1">SUM(Tabel2[Gewogen toetsrente])</f>
        <v>0</v>
      </c>
      <c r="U15" s="6" t="s">
        <v>54</v>
      </c>
      <c r="V15" t="b">
        <f ca="1">AND(Tabel2[Invulling oke])</f>
        <v>1</v>
      </c>
      <c r="W15" t="b">
        <f ca="1">OR(Tabel2[Toetsrente tonen])</f>
        <v>0</v>
      </c>
    </row>
    <row r="16" spans="1:25">
      <c r="B16" s="6" t="s">
        <v>55</v>
      </c>
      <c r="C16" s="16" t="b">
        <f ca="1">TotaleLening&gt;0</f>
        <v>0</v>
      </c>
      <c r="I16" s="13"/>
    </row>
    <row r="17" spans="1:9" ht="12.95">
      <c r="B17" s="6" t="s">
        <v>56</v>
      </c>
      <c r="C17" s="16"/>
      <c r="I17" s="13"/>
    </row>
    <row r="18" spans="1:9">
      <c r="B18" s="6" t="s">
        <v>50</v>
      </c>
      <c r="C18" s="16" t="b">
        <f ca="1">AND(AlleLeningdelenOK,MinstensEenLeningdeelVolledig)</f>
        <v>0</v>
      </c>
      <c r="I18" s="13"/>
    </row>
    <row r="20" spans="1:9">
      <c r="B20" s="6" t="s">
        <v>57</v>
      </c>
      <c r="C20" s="6" t="s">
        <v>58</v>
      </c>
    </row>
    <row r="21" spans="1:9">
      <c r="B21" s="6" t="s">
        <v>59</v>
      </c>
      <c r="C21" t="str">
        <f ca="1">IF(OffertedatumOngeldig,"Datum bindend aanbod is geen geldige datum. De gewogen gemiddelde toetsrente kan niet bepaald worden.","" )</f>
        <v/>
      </c>
    </row>
    <row r="22" spans="1:9">
      <c r="B22" s="6" t="s">
        <v>25</v>
      </c>
      <c r="C22" t="str">
        <f ca="1">IF(OffertedatumTeVroeg,"Datum bindend aanbod ligt voor invoering AFM-toetsrente ("&amp;TEXT(BegindatumGeldigheid,"dd-mm-jjjj")&amp;"). De gewogen gemiddelde toetsrente kan niet bepaald worden.","" )</f>
        <v/>
      </c>
    </row>
    <row r="23" spans="1:9">
      <c r="B23" s="6" t="s">
        <v>26</v>
      </c>
      <c r="C23" t="str">
        <f ca="1">IF(OffertedatumTeLaat,"Datum bindend aanbod ligt na het herzieningsmoment van de AFM-toetsrente ("&amp;TEXT(EinddatumGeldigheid,"dd-mm-jjjj")&amp;"). Mogelijk is de berekende gewogen gemiddelde toetsrente onjuist.","")</f>
        <v/>
      </c>
    </row>
    <row r="24" spans="1:9">
      <c r="A24">
        <v>1</v>
      </c>
      <c r="B24" s="6" t="s">
        <v>51</v>
      </c>
      <c r="C24" t="str" cm="1">
        <f t="array" aca="1" ref="C24" ca="1">INDEX(Tabel2[Melding looptijd],A24)</f>
        <v/>
      </c>
    </row>
    <row r="25" spans="1:9">
      <c r="A25">
        <v>1</v>
      </c>
      <c r="B25" s="6" t="s">
        <v>52</v>
      </c>
      <c r="C25" t="str" cm="1">
        <f t="array" aca="1" ref="C25" ca="1">INDEX(Tabel2[Melding rvp],A25)</f>
        <v/>
      </c>
    </row>
    <row r="26" spans="1:9">
      <c r="A26">
        <v>2</v>
      </c>
      <c r="B26" s="6" t="s">
        <v>51</v>
      </c>
      <c r="C26" t="str" cm="1">
        <f t="array" aca="1" ref="C26" ca="1">INDEX(Tabel2[Melding looptijd],A26)</f>
        <v/>
      </c>
    </row>
    <row r="27" spans="1:9">
      <c r="A27">
        <v>2</v>
      </c>
      <c r="B27" s="6" t="s">
        <v>52</v>
      </c>
      <c r="C27" t="str" cm="1">
        <f t="array" aca="1" ref="C27" ca="1">INDEX(Tabel2[Melding rvp],A27)</f>
        <v/>
      </c>
    </row>
    <row r="28" spans="1:9">
      <c r="A28">
        <v>3</v>
      </c>
      <c r="B28" s="6" t="s">
        <v>51</v>
      </c>
      <c r="C28" t="str" cm="1">
        <f t="array" aca="1" ref="C28" ca="1">INDEX(Tabel2[Melding looptijd],A28)</f>
        <v/>
      </c>
    </row>
    <row r="29" spans="1:9">
      <c r="A29">
        <v>3</v>
      </c>
      <c r="B29" s="6" t="s">
        <v>52</v>
      </c>
      <c r="C29" t="str" cm="1">
        <f t="array" aca="1" ref="C29" ca="1">INDEX(Tabel2[Melding rvp],A29)</f>
        <v/>
      </c>
    </row>
    <row r="30" spans="1:9">
      <c r="A30">
        <v>4</v>
      </c>
      <c r="B30" s="6" t="s">
        <v>51</v>
      </c>
      <c r="C30" t="str" cm="1">
        <f t="array" aca="1" ref="C30" ca="1">INDEX(Tabel2[Melding looptijd],A30)</f>
        <v/>
      </c>
    </row>
    <row r="31" spans="1:9">
      <c r="A31">
        <v>4</v>
      </c>
      <c r="B31" s="6" t="s">
        <v>52</v>
      </c>
      <c r="C31" t="str" cm="1">
        <f t="array" aca="1" ref="C31" ca="1">INDEX(Tabel2[Melding rvp],A31)</f>
        <v/>
      </c>
    </row>
    <row r="32" spans="1:9">
      <c r="A32">
        <v>5</v>
      </c>
      <c r="B32" s="6" t="s">
        <v>51</v>
      </c>
      <c r="C32" t="str" cm="1">
        <f t="array" aca="1" ref="C32" ca="1">INDEX(Tabel2[Melding looptijd],A32)</f>
        <v/>
      </c>
    </row>
    <row r="33" spans="1:3">
      <c r="A33">
        <v>5</v>
      </c>
      <c r="B33" s="6" t="s">
        <v>52</v>
      </c>
      <c r="C33" t="str" cm="1">
        <f t="array" aca="1" ref="C33" ca="1">INDEX(Tabel2[Melding rvp],A33)</f>
        <v/>
      </c>
    </row>
    <row r="36" spans="1:3" ht="125.1">
      <c r="C36" s="26" t="str">
        <f ca="1">_xlfn.TEXTJOIN(CHAR(10), TRUE, C21:C33)</f>
        <v/>
      </c>
    </row>
  </sheetData>
  <phoneticPr fontId="16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F17C7-0461-41B6-9FA2-86C180732BBB}">
  <dimension ref="A1:L31"/>
  <sheetViews>
    <sheetView workbookViewId="0">
      <selection activeCell="G37" sqref="G37"/>
    </sheetView>
  </sheetViews>
  <sheetFormatPr defaultRowHeight="12.6"/>
  <sheetData>
    <row r="1" spans="1:1" ht="12.95">
      <c r="A1" s="6" t="s">
        <v>60</v>
      </c>
    </row>
    <row r="2" spans="1:1">
      <c r="A2" s="6" t="s">
        <v>61</v>
      </c>
    </row>
    <row r="3" spans="1:1">
      <c r="A3" s="6" t="s">
        <v>62</v>
      </c>
    </row>
    <row r="4" spans="1:1">
      <c r="A4" s="6" t="s">
        <v>63</v>
      </c>
    </row>
    <row r="5" spans="1:1">
      <c r="A5" s="6" t="s">
        <v>64</v>
      </c>
    </row>
    <row r="6" spans="1:1">
      <c r="A6" s="6" t="s">
        <v>65</v>
      </c>
    </row>
    <row r="7" spans="1:1">
      <c r="A7" s="6" t="s">
        <v>66</v>
      </c>
    </row>
    <row r="8" spans="1:1">
      <c r="A8" s="6" t="s">
        <v>67</v>
      </c>
    </row>
    <row r="9" spans="1:1">
      <c r="A9" s="6" t="s">
        <v>68</v>
      </c>
    </row>
    <row r="17" spans="1:12">
      <c r="A17" s="3" t="s">
        <v>69</v>
      </c>
    </row>
    <row r="18" spans="1:12">
      <c r="A18" s="1" t="s">
        <v>70</v>
      </c>
    </row>
    <row r="19" spans="1:12">
      <c r="A19" s="1" t="s">
        <v>71</v>
      </c>
    </row>
    <row r="20" spans="1:12">
      <c r="A20" s="1" t="s">
        <v>72</v>
      </c>
      <c r="K20" s="39"/>
    </row>
    <row r="21" spans="1:12">
      <c r="A21" s="1" t="s">
        <v>73</v>
      </c>
    </row>
    <row r="22" spans="1:12">
      <c r="A22" s="1"/>
    </row>
    <row r="23" spans="1:12">
      <c r="A23" s="1" t="s">
        <v>74</v>
      </c>
    </row>
    <row r="24" spans="1:12">
      <c r="A24" s="1" t="s">
        <v>75</v>
      </c>
    </row>
    <row r="25" spans="1:12">
      <c r="A25" s="1" t="s">
        <v>76</v>
      </c>
    </row>
    <row r="26" spans="1:12">
      <c r="A26" s="2" t="s">
        <v>77</v>
      </c>
    </row>
    <row r="31" spans="1:12">
      <c r="L31" s="3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7cc2887-57c0-4a44-b41c-8efee5ba2152">
      <UserInfo>
        <DisplayName/>
        <AccountId xsi:nil="true"/>
        <AccountType/>
      </UserInfo>
    </SharedWithUsers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99C375D0424743A43F4E7A99A114A5" ma:contentTypeVersion="15" ma:contentTypeDescription="Een nieuw document maken." ma:contentTypeScope="" ma:versionID="c83882667db428daa203361e1940d708">
  <xsd:schema xmlns:xsd="http://www.w3.org/2001/XMLSchema" xmlns:xs="http://www.w3.org/2001/XMLSchema" xmlns:p="http://schemas.microsoft.com/office/2006/metadata/properties" xmlns:ns2="be7caf04-54ab-4be9-b42f-4d650fdfd7b7" xmlns:ns3="77cc2887-57c0-4a44-b41c-8efee5ba2152" targetNamespace="http://schemas.microsoft.com/office/2006/metadata/properties" ma:root="true" ma:fieldsID="9026eb30d20d45618094093a61188a9f" ns2:_="" ns3:_="">
    <xsd:import namespace="be7caf04-54ab-4be9-b42f-4d650fdfd7b7"/>
    <xsd:import namespace="77cc2887-57c0-4a44-b41c-8efee5ba21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7caf04-54ab-4be9-b42f-4d650fdfd7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cc2887-57c0-4a44-b41c-8efee5ba215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3EEC86-B886-4B04-B474-67742083F9DE}"/>
</file>

<file path=customXml/itemProps2.xml><?xml version="1.0" encoding="utf-8"?>
<ds:datastoreItem xmlns:ds="http://schemas.openxmlformats.org/officeDocument/2006/customXml" ds:itemID="{FFDF0ACC-7C14-4026-A8C7-1D9E5CFBC8F7}"/>
</file>

<file path=customXml/itemProps3.xml><?xml version="1.0" encoding="utf-8"?>
<ds:datastoreItem xmlns:ds="http://schemas.openxmlformats.org/officeDocument/2006/customXml" ds:itemID="{F4D69F86-F6C4-4F19-B8F5-1EA01EF177D7}"/>
</file>

<file path=customXml/itemProps4.xml><?xml version="1.0" encoding="utf-8"?>
<ds:datastoreItem xmlns:ds="http://schemas.openxmlformats.org/officeDocument/2006/customXml" ds:itemID="{4E3757F5-3ADE-4230-8BD4-745AF7A8B2A5}"/>
</file>

<file path=docMetadata/LabelInfo.xml><?xml version="1.0" encoding="utf-8"?>
<clbl:labelList xmlns:clbl="http://schemas.microsoft.com/office/2020/mipLabelMetadata">
  <clbl:label id="{c35a234f-284f-4305-b08e-3e2060196a9d}" enabled="0" method="" siteId="{c35a234f-284f-4305-b08e-3e2060196a9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Stichting Waarborgfonds Eigen Woningen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marcov</dc:creator>
  <cp:keywords/>
  <dc:description/>
  <cp:lastModifiedBy/>
  <cp:revision/>
  <dcterms:created xsi:type="dcterms:W3CDTF">2004-02-06T08:57:47Z</dcterms:created>
  <dcterms:modified xsi:type="dcterms:W3CDTF">2025-10-20T08:23:08Z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0x010100D999C375D0424743A43F4E7A99A114A5</vt:lpwstr>
  </property>
  <property fmtid="{D5CDD505-2E9C-101B-9397-08002B2CF9AE}" pid="3" name="TaxKeywordTaxHTField">
    <vt:lpwstr/>
  </property>
  <property fmtid="{D5CDD505-2E9C-101B-9397-08002B2CF9AE}" pid="4" name="TaxCatchAll">
    <vt:lpwstr/>
  </property>
  <property fmtid="{D5CDD505-2E9C-101B-9397-08002B2CF9AE}" pid="5" name="TaxKeyword">
    <vt:lpwstr/>
  </property>
  <property fmtid="{D5CDD505-2E9C-101B-9397-08002B2CF9AE}" pid="6" name="Order">
    <vt:r8>4957600</vt:r8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ComplianceAssetId">
    <vt:lpwstr/>
  </property>
  <property fmtid="{D5CDD505-2E9C-101B-9397-08002B2CF9AE}" pid="10" name="TemplateUrl">
    <vt:lpwstr/>
  </property>
</Properties>
</file>